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6" yWindow="96" windowWidth="16260" windowHeight="5856" tabRatio="733" activeTab="2"/>
  </bookViews>
  <sheets>
    <sheet name="Habitação_referência" sheetId="7" r:id="rId1"/>
    <sheet name="Equip Eficientes, Cons " sheetId="6" r:id="rId2"/>
    <sheet name="SAAP" sheetId="10" r:id="rId3"/>
    <sheet name="SAAC" sheetId="11" r:id="rId4"/>
    <sheet name="Certificação" sheetId="5" r:id="rId5"/>
  </sheets>
  <definedNames>
    <definedName name="_xlnm._FilterDatabase" localSheetId="3" hidden="1">SAAC!$E$16:$E$17</definedName>
  </definedNames>
  <calcPr calcId="145621"/>
</workbook>
</file>

<file path=xl/calcChain.xml><?xml version="1.0" encoding="utf-8"?>
<calcChain xmlns="http://schemas.openxmlformats.org/spreadsheetml/2006/main">
  <c r="B60" i="6" l="1"/>
  <c r="C23" i="11" l="1"/>
  <c r="F48" i="6"/>
  <c r="C22" i="11" l="1"/>
  <c r="B69" i="5" l="1"/>
  <c r="B68" i="5"/>
  <c r="B67" i="5"/>
  <c r="B66" i="5"/>
  <c r="B65" i="5"/>
  <c r="B64" i="5"/>
  <c r="B63" i="5"/>
  <c r="B62" i="5"/>
  <c r="B61" i="5"/>
  <c r="B60" i="5"/>
  <c r="B59" i="5"/>
  <c r="D19" i="5"/>
  <c r="D18" i="5"/>
  <c r="C31" i="10"/>
  <c r="Q27" i="10"/>
  <c r="O27" i="10"/>
  <c r="M27" i="10"/>
  <c r="K27" i="10"/>
  <c r="I27" i="10"/>
  <c r="C27" i="10"/>
  <c r="C15" i="10"/>
  <c r="C21" i="10" s="1"/>
  <c r="C14" i="10"/>
  <c r="I9" i="10" s="1"/>
  <c r="C11" i="10"/>
  <c r="J8" i="6"/>
  <c r="K8" i="6" s="1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F27" i="6"/>
  <c r="F26" i="6"/>
  <c r="I26" i="6" s="1"/>
  <c r="F25" i="6"/>
  <c r="I25" i="6" s="1"/>
  <c r="F24" i="6"/>
  <c r="I24" i="6" s="1"/>
  <c r="F23" i="6"/>
  <c r="I23" i="6" s="1"/>
  <c r="I22" i="6"/>
  <c r="F21" i="6"/>
  <c r="I21" i="6" s="1"/>
  <c r="F20" i="6"/>
  <c r="I19" i="6"/>
  <c r="I18" i="6"/>
  <c r="I17" i="6"/>
  <c r="I16" i="6"/>
  <c r="I15" i="6"/>
  <c r="F14" i="6"/>
  <c r="I14" i="6" s="1"/>
  <c r="F13" i="6"/>
  <c r="I13" i="6" s="1"/>
  <c r="F12" i="6"/>
  <c r="I12" i="6" s="1"/>
  <c r="F11" i="6"/>
  <c r="I11" i="6" s="1"/>
  <c r="F10" i="6"/>
  <c r="I10" i="6" s="1"/>
  <c r="I9" i="6"/>
  <c r="I8" i="6"/>
  <c r="I7" i="6"/>
  <c r="I6" i="6"/>
  <c r="I5" i="6"/>
  <c r="E11" i="7"/>
  <c r="D11" i="7"/>
  <c r="C11" i="7"/>
  <c r="E10" i="7"/>
  <c r="D10" i="7"/>
  <c r="C10" i="7"/>
  <c r="F9" i="7"/>
  <c r="E9" i="7"/>
  <c r="D9" i="7"/>
  <c r="C9" i="7"/>
  <c r="F8" i="7"/>
  <c r="E8" i="7"/>
  <c r="D8" i="7"/>
  <c r="C8" i="7"/>
  <c r="F7" i="7"/>
  <c r="E7" i="7"/>
  <c r="D7" i="7"/>
  <c r="C7" i="7"/>
  <c r="E6" i="7"/>
  <c r="D6" i="7"/>
  <c r="C6" i="7"/>
  <c r="I15" i="10" l="1"/>
  <c r="I16" i="10"/>
  <c r="I11" i="10"/>
  <c r="C17" i="10"/>
  <c r="I10" i="10"/>
  <c r="I12" i="10"/>
  <c r="I17" i="10"/>
  <c r="I6" i="10"/>
  <c r="I13" i="10"/>
  <c r="I7" i="10"/>
  <c r="I14" i="10"/>
  <c r="I8" i="10"/>
  <c r="J11" i="6"/>
  <c r="K11" i="6" s="1"/>
  <c r="J13" i="6"/>
  <c r="K13" i="6" s="1"/>
  <c r="J37" i="6"/>
  <c r="K37" i="6" s="1"/>
  <c r="J10" i="6"/>
  <c r="K10" i="6" s="1"/>
  <c r="J12" i="6"/>
  <c r="K12" i="6" s="1"/>
  <c r="J27" i="6"/>
  <c r="K27" i="6" s="1"/>
  <c r="J35" i="6"/>
  <c r="K35" i="6" s="1"/>
  <c r="H8" i="7" s="1"/>
  <c r="D14" i="5" s="1"/>
  <c r="J14" i="6"/>
  <c r="K14" i="6" s="1"/>
  <c r="J7" i="6"/>
  <c r="K7" i="6" s="1"/>
  <c r="J9" i="6"/>
  <c r="K9" i="6" s="1"/>
  <c r="J17" i="6"/>
  <c r="K17" i="6" s="1"/>
  <c r="J25" i="6"/>
  <c r="K25" i="6" s="1"/>
  <c r="J18" i="6"/>
  <c r="K18" i="6" s="1"/>
  <c r="J19" i="6"/>
  <c r="K19" i="6" s="1"/>
  <c r="J30" i="6"/>
  <c r="K30" i="6" s="1"/>
  <c r="J23" i="6"/>
  <c r="K23" i="6" s="1"/>
  <c r="J5" i="6"/>
  <c r="K5" i="6" s="1"/>
  <c r="J41" i="6"/>
  <c r="K41" i="6" s="1"/>
  <c r="J21" i="6"/>
  <c r="F6" i="7"/>
  <c r="I47" i="6"/>
  <c r="J47" i="6" s="1"/>
  <c r="K47" i="6" s="1"/>
  <c r="C17" i="5" s="1"/>
  <c r="D8" i="11" s="1"/>
  <c r="I49" i="6"/>
  <c r="J49" i="6" s="1"/>
  <c r="K49" i="6" s="1"/>
  <c r="I50" i="6"/>
  <c r="I45" i="6"/>
  <c r="J45" i="6" s="1"/>
  <c r="K45" i="6" s="1"/>
  <c r="I46" i="6"/>
  <c r="J46" i="6" s="1"/>
  <c r="G10" i="7" s="1"/>
  <c r="I43" i="6"/>
  <c r="J43" i="6" s="1"/>
  <c r="K43" i="6" s="1"/>
  <c r="I44" i="6"/>
  <c r="J44" i="6" s="1"/>
  <c r="K44" i="6" s="1"/>
  <c r="I48" i="6"/>
  <c r="J48" i="6" s="1"/>
  <c r="K48" i="6" s="1"/>
  <c r="G20" i="6"/>
  <c r="I20" i="6" s="1"/>
  <c r="J20" i="6" s="1"/>
  <c r="K20" i="6" s="1"/>
  <c r="J33" i="6"/>
  <c r="K33" i="6" s="1"/>
  <c r="J38" i="6"/>
  <c r="K38" i="6" s="1"/>
  <c r="J29" i="6"/>
  <c r="K29" i="6" s="1"/>
  <c r="J6" i="6"/>
  <c r="K6" i="6" s="1"/>
  <c r="J15" i="6"/>
  <c r="K15" i="6" s="1"/>
  <c r="J22" i="6"/>
  <c r="K22" i="6" s="1"/>
  <c r="J24" i="6"/>
  <c r="K24" i="6" s="1"/>
  <c r="J26" i="6"/>
  <c r="K26" i="6" s="1"/>
  <c r="J31" i="6"/>
  <c r="K31" i="6" s="1"/>
  <c r="J39" i="6"/>
  <c r="K39" i="6" s="1"/>
  <c r="J34" i="6"/>
  <c r="K34" i="6" s="1"/>
  <c r="J42" i="6"/>
  <c r="J16" i="6"/>
  <c r="K16" i="6" s="1"/>
  <c r="J32" i="6"/>
  <c r="K32" i="6" s="1"/>
  <c r="J40" i="6"/>
  <c r="K40" i="6" s="1"/>
  <c r="J28" i="6"/>
  <c r="J36" i="6"/>
  <c r="K36" i="6" s="1"/>
  <c r="D13" i="11" l="1"/>
  <c r="D36" i="10"/>
  <c r="C14" i="5"/>
  <c r="G8" i="7"/>
  <c r="C16" i="5"/>
  <c r="K46" i="6"/>
  <c r="H10" i="7" s="1"/>
  <c r="D16" i="5" s="1"/>
  <c r="C15" i="5"/>
  <c r="C67" i="5" s="1"/>
  <c r="D67" i="5" s="1"/>
  <c r="C12" i="5"/>
  <c r="F10" i="7"/>
  <c r="C13" i="5"/>
  <c r="G6" i="7"/>
  <c r="K21" i="6"/>
  <c r="H6" i="7" s="1"/>
  <c r="D12" i="5" s="1"/>
  <c r="G9" i="7"/>
  <c r="K42" i="6"/>
  <c r="H9" i="7" s="1"/>
  <c r="D15" i="5" s="1"/>
  <c r="F11" i="7"/>
  <c r="J50" i="6"/>
  <c r="G7" i="7"/>
  <c r="K28" i="6"/>
  <c r="H7" i="7" s="1"/>
  <c r="C63" i="5" l="1"/>
  <c r="D63" i="5" s="1"/>
  <c r="D6" i="11"/>
  <c r="D35" i="10"/>
  <c r="D37" i="10" s="1"/>
  <c r="R6" i="10" s="1"/>
  <c r="S6" i="10" s="1"/>
  <c r="D12" i="11"/>
  <c r="D14" i="11" s="1"/>
  <c r="C66" i="5"/>
  <c r="D66" i="5" s="1"/>
  <c r="D7" i="11"/>
  <c r="B42" i="5"/>
  <c r="C42" i="5" s="1"/>
  <c r="C65" i="5"/>
  <c r="D65" i="5" s="1"/>
  <c r="B44" i="5"/>
  <c r="C44" i="5" s="1"/>
  <c r="B40" i="5"/>
  <c r="C40" i="5" s="1"/>
  <c r="C68" i="5"/>
  <c r="D68" i="5" s="1"/>
  <c r="C69" i="5"/>
  <c r="D69" i="5" s="1"/>
  <c r="B43" i="5"/>
  <c r="C43" i="5" s="1"/>
  <c r="C60" i="5"/>
  <c r="D60" i="5" s="1"/>
  <c r="C61" i="5"/>
  <c r="D61" i="5" s="1"/>
  <c r="C59" i="5"/>
  <c r="D59" i="5" s="1"/>
  <c r="C62" i="5"/>
  <c r="D62" i="5" s="1"/>
  <c r="C64" i="5"/>
  <c r="D64" i="5" s="1"/>
  <c r="F14" i="7"/>
  <c r="K50" i="6"/>
  <c r="H11" i="7" s="1"/>
  <c r="D17" i="5" s="1"/>
  <c r="B45" i="5" s="1"/>
  <c r="C45" i="5" s="1"/>
  <c r="G11" i="7"/>
  <c r="G14" i="7" s="1"/>
  <c r="D13" i="5"/>
  <c r="D9" i="11" l="1"/>
  <c r="C17" i="11" s="1"/>
  <c r="C19" i="11" s="1"/>
  <c r="D53" i="5" s="1"/>
  <c r="C22" i="10"/>
  <c r="C23" i="10" s="1"/>
  <c r="C24" i="10" s="1"/>
  <c r="J6" i="10"/>
  <c r="K6" i="10" s="1"/>
  <c r="J7" i="10" s="1"/>
  <c r="N6" i="10"/>
  <c r="O6" i="10" s="1"/>
  <c r="N7" i="10" s="1"/>
  <c r="P6" i="10"/>
  <c r="Q6" i="10" s="1"/>
  <c r="P7" i="10" s="1"/>
  <c r="Q7" i="10" s="1"/>
  <c r="L6" i="10"/>
  <c r="M6" i="10" s="1"/>
  <c r="L7" i="10" s="1"/>
  <c r="H14" i="7"/>
  <c r="B41" i="5"/>
  <c r="C41" i="5" s="1"/>
  <c r="D20" i="5"/>
  <c r="I13" i="7"/>
  <c r="I9" i="7"/>
  <c r="I14" i="7"/>
  <c r="I6" i="7"/>
  <c r="I12" i="7"/>
  <c r="I7" i="7"/>
  <c r="I8" i="7"/>
  <c r="I10" i="7"/>
  <c r="I11" i="7"/>
  <c r="R7" i="10"/>
  <c r="C18" i="11" l="1"/>
  <c r="C24" i="11"/>
  <c r="C19" i="5"/>
  <c r="B47" i="5" s="1"/>
  <c r="C47" i="5" s="1"/>
  <c r="C29" i="10"/>
  <c r="C18" i="5" s="1"/>
  <c r="M7" i="10"/>
  <c r="L8" i="10" s="1"/>
  <c r="M8" i="10" s="1"/>
  <c r="E34" i="5"/>
  <c r="E30" i="5"/>
  <c r="D21" i="5"/>
  <c r="D22" i="5" s="1"/>
  <c r="D23" i="5" s="1"/>
  <c r="D34" i="5"/>
  <c r="D30" i="5"/>
  <c r="E33" i="5"/>
  <c r="E29" i="5"/>
  <c r="D33" i="5"/>
  <c r="D29" i="5"/>
  <c r="E32" i="5"/>
  <c r="E28" i="5"/>
  <c r="D32" i="5"/>
  <c r="D28" i="5"/>
  <c r="E31" i="5"/>
  <c r="D31" i="5"/>
  <c r="K7" i="10"/>
  <c r="J8" i="10" s="1"/>
  <c r="O7" i="10"/>
  <c r="P8" i="10"/>
  <c r="Q8" i="10" s="1"/>
  <c r="S7" i="10"/>
  <c r="L9" i="10" l="1"/>
  <c r="M9" i="10" s="1"/>
  <c r="K8" i="10"/>
  <c r="P9" i="10"/>
  <c r="N8" i="10"/>
  <c r="R8" i="10"/>
  <c r="O8" i="10" l="1"/>
  <c r="N9" i="10" s="1"/>
  <c r="L10" i="10"/>
  <c r="Q9" i="10"/>
  <c r="J9" i="10"/>
  <c r="S8" i="10"/>
  <c r="O9" i="10" l="1"/>
  <c r="N10" i="10" s="1"/>
  <c r="P10" i="10"/>
  <c r="R9" i="10"/>
  <c r="M10" i="10"/>
  <c r="K9" i="10"/>
  <c r="J10" i="10" s="1"/>
  <c r="K10" i="10" s="1"/>
  <c r="J11" i="10" s="1"/>
  <c r="K11" i="10" s="1"/>
  <c r="O10" i="10" l="1"/>
  <c r="L11" i="10"/>
  <c r="M11" i="10" s="1"/>
  <c r="S9" i="10"/>
  <c r="Q10" i="10"/>
  <c r="J12" i="10"/>
  <c r="K12" i="10" s="1"/>
  <c r="L12" i="10" l="1"/>
  <c r="M12" i="10" s="1"/>
  <c r="R10" i="10"/>
  <c r="S10" i="10" s="1"/>
  <c r="P11" i="10"/>
  <c r="Q11" i="10" s="1"/>
  <c r="N11" i="10"/>
  <c r="J13" i="10"/>
  <c r="K13" i="10" s="1"/>
  <c r="O11" i="10" l="1"/>
  <c r="N12" i="10" s="1"/>
  <c r="O12" i="10" s="1"/>
  <c r="L13" i="10"/>
  <c r="M13" i="10" s="1"/>
  <c r="P12" i="10"/>
  <c r="Q12" i="10" s="1"/>
  <c r="R11" i="10"/>
  <c r="S11" i="10" s="1"/>
  <c r="J14" i="10"/>
  <c r="K14" i="10" s="1"/>
  <c r="L14" i="10" l="1"/>
  <c r="M14" i="10" s="1"/>
  <c r="R12" i="10"/>
  <c r="S12" i="10" s="1"/>
  <c r="P13" i="10"/>
  <c r="Q13" i="10" s="1"/>
  <c r="N13" i="10"/>
  <c r="O13" i="10" s="1"/>
  <c r="J15" i="10"/>
  <c r="K15" i="10" s="1"/>
  <c r="L15" i="10" l="1"/>
  <c r="M15" i="10" s="1"/>
  <c r="P14" i="10"/>
  <c r="Q14" i="10" s="1"/>
  <c r="N14" i="10"/>
  <c r="O14" i="10" s="1"/>
  <c r="R13" i="10"/>
  <c r="S13" i="10" s="1"/>
  <c r="J16" i="10"/>
  <c r="K16" i="10" s="1"/>
  <c r="N15" i="10" l="1"/>
  <c r="O15" i="10" s="1"/>
  <c r="L16" i="10"/>
  <c r="M16" i="10" s="1"/>
  <c r="P15" i="10"/>
  <c r="Q15" i="10" s="1"/>
  <c r="R14" i="10"/>
  <c r="S14" i="10" s="1"/>
  <c r="J17" i="10"/>
  <c r="N16" i="10" l="1"/>
  <c r="O16" i="10" s="1"/>
  <c r="P16" i="10"/>
  <c r="Q16" i="10" s="1"/>
  <c r="L17" i="10"/>
  <c r="K23" i="10" s="1"/>
  <c r="R15" i="10"/>
  <c r="S15" i="10" s="1"/>
  <c r="K17" i="10"/>
  <c r="I23" i="10"/>
  <c r="P17" i="10" l="1"/>
  <c r="O23" i="10" s="1"/>
  <c r="N17" i="10"/>
  <c r="M23" i="10" s="1"/>
  <c r="K28" i="10"/>
  <c r="C32" i="10" s="1"/>
  <c r="K29" i="10"/>
  <c r="K26" i="10"/>
  <c r="C28" i="10"/>
  <c r="M17" i="10"/>
  <c r="R16" i="10"/>
  <c r="S16" i="10" s="1"/>
  <c r="I28" i="10"/>
  <c r="I26" i="10"/>
  <c r="I29" i="10"/>
  <c r="O17" i="10" l="1"/>
  <c r="R17" i="10"/>
  <c r="Q23" i="10" s="1"/>
  <c r="C30" i="10"/>
  <c r="D52" i="5" s="1"/>
  <c r="M29" i="10"/>
  <c r="M26" i="10"/>
  <c r="M28" i="10"/>
  <c r="O28" i="10"/>
  <c r="O29" i="10"/>
  <c r="O26" i="10"/>
  <c r="Q17" i="10"/>
  <c r="S17" i="10" l="1"/>
  <c r="B46" i="5"/>
  <c r="C46" i="5" s="1"/>
  <c r="C20" i="5"/>
  <c r="G37" i="5" s="1"/>
  <c r="Q28" i="10"/>
  <c r="Q29" i="10"/>
  <c r="Q26" i="10"/>
  <c r="G1" i="5" l="1"/>
  <c r="C26" i="5"/>
  <c r="C21" i="5"/>
  <c r="C22" i="5" s="1"/>
  <c r="C23" i="5" s="1"/>
  <c r="F68" i="5"/>
  <c r="G68" i="5" s="1"/>
  <c r="F66" i="5"/>
  <c r="G66" i="5" s="1"/>
  <c r="F67" i="5"/>
  <c r="G67" i="5" s="1"/>
  <c r="F62" i="5"/>
  <c r="G62" i="5" s="1"/>
  <c r="F63" i="5"/>
  <c r="G63" i="5" s="1"/>
  <c r="F60" i="5"/>
  <c r="G60" i="5" s="1"/>
  <c r="F64" i="5"/>
  <c r="G64" i="5" s="1"/>
  <c r="F65" i="5"/>
  <c r="G65" i="5" s="1"/>
  <c r="F61" i="5"/>
  <c r="G61" i="5" s="1"/>
  <c r="F69" i="5"/>
  <c r="G69" i="5" s="1"/>
  <c r="F59" i="5"/>
  <c r="G59" i="5" s="1"/>
</calcChain>
</file>

<file path=xl/sharedStrings.xml><?xml version="1.0" encoding="utf-8"?>
<sst xmlns="http://schemas.openxmlformats.org/spreadsheetml/2006/main" count="334" uniqueCount="245">
  <si>
    <t>VERTENTE</t>
  </si>
  <si>
    <t>CRITÉRIOS DE AVALIAÇÃO</t>
  </si>
  <si>
    <t>Chuveiros</t>
  </si>
  <si>
    <t>Torneiras de Lavatório</t>
  </si>
  <si>
    <t>Torneiras de Cozinha</t>
  </si>
  <si>
    <t xml:space="preserve">Sistema de Aproveitamento de Águas Pluviais </t>
  </si>
  <si>
    <t>Sistema de Aproveitamento de Águas Cinzentas</t>
  </si>
  <si>
    <t>CRITÉRIO DE AVALIAÇÃO</t>
  </si>
  <si>
    <t>Autoclismos</t>
  </si>
  <si>
    <t>Economizador de autoclismo</t>
  </si>
  <si>
    <t>X</t>
  </si>
  <si>
    <t>x</t>
  </si>
  <si>
    <t>Total</t>
  </si>
  <si>
    <t>Máquina de Lavar Loiça</t>
  </si>
  <si>
    <t>Máquina de Lavar Roupa</t>
  </si>
  <si>
    <t xml:space="preserve">Não possui sistema de aproveitamento de águas </t>
  </si>
  <si>
    <t>Não possui autoclismo de baixo consumo</t>
  </si>
  <si>
    <t>Não possui chuveiro de baixo consumo</t>
  </si>
  <si>
    <t>Não possui torneira de baixo consumo</t>
  </si>
  <si>
    <t>Não possui máquina de baixo consumo</t>
  </si>
  <si>
    <t>%consumo</t>
  </si>
  <si>
    <t>SOMA</t>
  </si>
  <si>
    <t>SISTEMAS DE APROVEITAMENTO DE ÁGUAS</t>
  </si>
  <si>
    <t>Autoclismo</t>
  </si>
  <si>
    <t>Chuveiro</t>
  </si>
  <si>
    <t>Máquina de lavar loiça</t>
  </si>
  <si>
    <t>Máquina de lavar roupa</t>
  </si>
  <si>
    <t>Torneira de cozinha</t>
  </si>
  <si>
    <t>Precipitação média mensal (mm)</t>
  </si>
  <si>
    <t xml:space="preserve">Mês </t>
  </si>
  <si>
    <t xml:space="preserve">Janeiro </t>
  </si>
  <si>
    <t>Fevereiro</t>
  </si>
  <si>
    <t>Março</t>
  </si>
  <si>
    <t>Abril</t>
  </si>
  <si>
    <t>Maio</t>
  </si>
  <si>
    <t>Junho</t>
  </si>
  <si>
    <t>Julho</t>
  </si>
  <si>
    <t xml:space="preserve">Agosto </t>
  </si>
  <si>
    <t>Setembro</t>
  </si>
  <si>
    <t>Outubro</t>
  </si>
  <si>
    <t>Novembro</t>
  </si>
  <si>
    <t>Dezembro</t>
  </si>
  <si>
    <t>PRESCRIÇÕES TÉCNICAS SEGUNDO ETA0701:</t>
  </si>
  <si>
    <t>Desvio das primeiras águas</t>
  </si>
  <si>
    <t>Altura de precipitação (mm) a desviar</t>
  </si>
  <si>
    <t>Volume a desviar do sistema (l)</t>
  </si>
  <si>
    <t>Volume da água a aproveitar</t>
  </si>
  <si>
    <t>Coeficiente de escoamento</t>
  </si>
  <si>
    <t>Eficiência hidráulica da filtragem</t>
  </si>
  <si>
    <t>Volume anual de água da chuva aproveitável (l)</t>
  </si>
  <si>
    <t>Tipo de cobertura</t>
  </si>
  <si>
    <t>Coberturas verdes intensivas, sem rega (espessura e &gt; 150mm)</t>
  </si>
  <si>
    <t>Coberturas verdes extensivas, sem rega (espessura e ≤ 150mm)</t>
  </si>
  <si>
    <t>Coberturas impermeáveis (telha, betão, etc.)</t>
  </si>
  <si>
    <t>Valor médio de C a considerar para a pluviosidade anual</t>
  </si>
  <si>
    <t xml:space="preserve">Número máx de dias de retenção da água na cisterna </t>
  </si>
  <si>
    <r>
      <t xml:space="preserve">        </t>
    </r>
    <r>
      <rPr>
        <b/>
        <sz val="11"/>
        <color theme="1"/>
        <rFont val="Times New Roman"/>
        <family val="1"/>
      </rPr>
      <t xml:space="preserve"> 1.</t>
    </r>
  </si>
  <si>
    <t xml:space="preserve">         2.</t>
  </si>
  <si>
    <r>
      <t xml:space="preserve">          </t>
    </r>
    <r>
      <rPr>
        <b/>
        <sz val="11"/>
        <color theme="1"/>
        <rFont val="Times New Roman"/>
        <family val="1"/>
      </rPr>
      <t xml:space="preserve"> 3.</t>
    </r>
  </si>
  <si>
    <t xml:space="preserve">         4. </t>
  </si>
  <si>
    <t xml:space="preserve">Poupança de água </t>
  </si>
  <si>
    <t xml:space="preserve"> *</t>
  </si>
  <si>
    <t>Altura de precipitação acumulada num ano (mm)</t>
  </si>
  <si>
    <t>Volume de água da chuva consumida (m^3)</t>
  </si>
  <si>
    <t>Volume de água anual consumido (m^3)</t>
  </si>
  <si>
    <t>Volume total de água da chuva consumida/ano (m^3)</t>
  </si>
  <si>
    <t>Volume  de água no reservatório no final do mês (l)</t>
  </si>
  <si>
    <t>Volume da cisterna recomendado (m^3)</t>
  </si>
  <si>
    <t>Simple payback</t>
  </si>
  <si>
    <t>Torneiras</t>
  </si>
  <si>
    <t xml:space="preserve">          1.</t>
  </si>
  <si>
    <t>Máquina lavar roupa</t>
  </si>
  <si>
    <t>Volume total</t>
  </si>
  <si>
    <t>Necessidade de águas cinzentas</t>
  </si>
  <si>
    <t xml:space="preserve">          4.</t>
  </si>
  <si>
    <t xml:space="preserve">          2. </t>
  </si>
  <si>
    <t>Investimento</t>
  </si>
  <si>
    <t>Volume do reservatório (m3)</t>
  </si>
  <si>
    <t>Valor do reservatório (€)</t>
  </si>
  <si>
    <t>Tempo retorno investimento (anos)</t>
  </si>
  <si>
    <t>HABITAÇÃO EM AVALIAÇÃO</t>
  </si>
  <si>
    <t>HABITAÇÃO DE REFERÊNCIA</t>
  </si>
  <si>
    <t>Tipologia da Habitação</t>
  </si>
  <si>
    <t>T0</t>
  </si>
  <si>
    <t>T1</t>
  </si>
  <si>
    <t>T2</t>
  </si>
  <si>
    <t>T3</t>
  </si>
  <si>
    <t>T4</t>
  </si>
  <si>
    <t>Nº RESIDENTES</t>
  </si>
  <si>
    <t>T5</t>
  </si>
  <si>
    <t>CONSUMO DIÁRIO PER CAPITA</t>
  </si>
  <si>
    <t>Localização</t>
  </si>
  <si>
    <t>Porto</t>
  </si>
  <si>
    <t>Selecione</t>
  </si>
  <si>
    <t xml:space="preserve"> </t>
  </si>
  <si>
    <t>Área de captação</t>
  </si>
  <si>
    <t>Volume aproveitável (m3)</t>
  </si>
  <si>
    <t>Consumo anual estimado por habitação (m3)</t>
  </si>
  <si>
    <t>Volume consumido (m3)</t>
  </si>
  <si>
    <t>Capacidade do reservatório</t>
  </si>
  <si>
    <t>Dimensionamento da cisterna (ETA 0701)</t>
  </si>
  <si>
    <t>Consumo total da habitação</t>
  </si>
  <si>
    <t>CONSUMO TOTAL DIÁRIO (l)</t>
  </si>
  <si>
    <t>CONSUMO TOTAL MENSAL (m3)</t>
  </si>
  <si>
    <t>CONSUMO TOTAL ANUAL (m3)</t>
  </si>
  <si>
    <t>Volume do reservatório usado (m^3)</t>
  </si>
  <si>
    <t xml:space="preserve">    </t>
  </si>
  <si>
    <t>m3</t>
  </si>
  <si>
    <t>Volume mensal de água da chuva captada (l)</t>
  </si>
  <si>
    <t>Vol água consumida</t>
  </si>
  <si>
    <t>Grau de aproveitamento</t>
  </si>
  <si>
    <t>Consumos anuais</t>
  </si>
  <si>
    <t>Redução de água nos consumos</t>
  </si>
  <si>
    <t>Tipo de equipamento</t>
  </si>
  <si>
    <t>A</t>
  </si>
  <si>
    <t>B</t>
  </si>
  <si>
    <t>C</t>
  </si>
  <si>
    <t>D</t>
  </si>
  <si>
    <t>E</t>
  </si>
  <si>
    <t>A+</t>
  </si>
  <si>
    <t>A++</t>
  </si>
  <si>
    <t>Consumo (l/hab/dia)</t>
  </si>
  <si>
    <t>Consumo</t>
  </si>
  <si>
    <t>Fator de Uso</t>
  </si>
  <si>
    <t>Consumo (l/dia)</t>
  </si>
  <si>
    <t>Consumo (m3/ano)</t>
  </si>
  <si>
    <t>Descrição da medida…</t>
  </si>
  <si>
    <t>Classe hídrica após medida</t>
  </si>
  <si>
    <t>Redução anual da fatura da água (m3)</t>
  </si>
  <si>
    <t>Redução anual da fatura da água (euros)</t>
  </si>
  <si>
    <t>EQUIPAMENTOS</t>
  </si>
  <si>
    <t>Dupla descarga, classe A++ (2.5/4.25)</t>
  </si>
  <si>
    <t>Tipo</t>
  </si>
  <si>
    <t>Número</t>
  </si>
  <si>
    <t>Volume/Caudal (l ou l/min)</t>
  </si>
  <si>
    <t>BASE DE DADOS/CHECKLIST PARA ESTIMATIVA DO CONSUMO DE ÁGUA POTÁVEL DA HABITAÇÃO EM AVALIAÇÃO</t>
  </si>
  <si>
    <t>Torneira de lavatório</t>
  </si>
  <si>
    <t>BASE DE DADOS PARA ESTIMATIVA DO CONSUMO DE ÁGUA POTÁVEL DA HABITAÇÃO DE REFERÊNCIA</t>
  </si>
  <si>
    <t>Aproveitamento de águas pluviais</t>
  </si>
  <si>
    <t>Aproveitamento de águas cinzentas</t>
  </si>
  <si>
    <t>CERTIFICAÇÃO HÍDRICA (Habitação Residencial)</t>
  </si>
  <si>
    <t>Equipamento com um consumo por ciclo de lavagem de ≤ 6 l</t>
  </si>
  <si>
    <t xml:space="preserve">Equipamento com um consumo por ciclo de lavagem de 6Q≤12L </t>
  </si>
  <si>
    <t xml:space="preserve">Equipamento com um consumo por ciclo de lavagem de Q≥12L </t>
  </si>
  <si>
    <t>Equipamento com um consumo por ciclo de lavagem de ≤37 l</t>
  </si>
  <si>
    <t xml:space="preserve">Equipamento com um consumo por ciclo de lavagem de 37Q≤57L </t>
  </si>
  <si>
    <t xml:space="preserve">Equipamento com um consumo por ciclo de lavagem de Q≥57L </t>
  </si>
  <si>
    <t>Autoclismo (l)</t>
  </si>
  <si>
    <t>Descarga completa, classe A (4,0≤V≤4,5)</t>
  </si>
  <si>
    <t>Descarga completa, classe B (4,5≤V≤5,5)</t>
  </si>
  <si>
    <t>Descarga completa, classe C (6,0≤V≤6,5)</t>
  </si>
  <si>
    <t>Descarga completa, classe D (7,0≤V≤7,5)</t>
  </si>
  <si>
    <t>Descarga completa, classe E (8,5≤V≤9,0)</t>
  </si>
  <si>
    <t>C/ interrupção de descarga. classe A+ (4,0≤V≤4,5)</t>
  </si>
  <si>
    <t>C/ interrupção de descarga, classe A (4,5≤V≤5,5)</t>
  </si>
  <si>
    <t>C/ interrupção de descarga, classe B (6,0≤V≤6,5)</t>
  </si>
  <si>
    <t>C/ interrupção de descarga, classe C (7,0≤V≤7,5)</t>
  </si>
  <si>
    <t>C/ interrupção de descarga, classe D (8,5≤V≤9,0)</t>
  </si>
  <si>
    <r>
      <t>Classe A</t>
    </r>
    <r>
      <rPr>
        <vertAlign val="superscript"/>
        <sz val="9"/>
        <color theme="1"/>
        <rFont val="Times New Roman"/>
        <family val="1"/>
      </rPr>
      <t>+</t>
    </r>
    <r>
      <rPr>
        <sz val="9"/>
        <color theme="1"/>
        <rFont val="Times New Roman"/>
        <family val="1"/>
      </rPr>
      <t xml:space="preserve"> (Q≤5)</t>
    </r>
  </si>
  <si>
    <t>Classe A (5,0≤Q≤7,2)</t>
  </si>
  <si>
    <t>Chuveiro (l/min)</t>
  </si>
  <si>
    <t>Classe B (7,2≤Q≤9,0)</t>
  </si>
  <si>
    <t>Classe C (9,0≤Q≤15,0)</t>
  </si>
  <si>
    <t>Classe D (15,0≤Q≤30,0)</t>
  </si>
  <si>
    <t>Classe E (30,0≤Q)</t>
  </si>
  <si>
    <t>Torneiras de Lavatório (l/min)</t>
  </si>
  <si>
    <r>
      <t>Classe A</t>
    </r>
    <r>
      <rPr>
        <vertAlign val="superscript"/>
        <sz val="9"/>
        <color theme="1"/>
        <rFont val="Times New Roman"/>
        <family val="1"/>
      </rPr>
      <t>+</t>
    </r>
    <r>
      <rPr>
        <sz val="9"/>
        <color theme="1"/>
        <rFont val="Times New Roman"/>
        <family val="1"/>
      </rPr>
      <t xml:space="preserve"> ( Q≤2)</t>
    </r>
  </si>
  <si>
    <t>Classe A (2,0≤Q≤4,0)</t>
  </si>
  <si>
    <t>Classe B (4,0≤Q≤6,0)</t>
  </si>
  <si>
    <t>Classe C (6,0≤Q≤9,0)</t>
  </si>
  <si>
    <t>Classe D (9,0≤Q≤12,0)</t>
  </si>
  <si>
    <t>Classe E (12≤Q)</t>
  </si>
  <si>
    <t>Torneiras de Cozinha (l/min)</t>
  </si>
  <si>
    <r>
      <t>Classe A</t>
    </r>
    <r>
      <rPr>
        <vertAlign val="superscript"/>
        <sz val="9"/>
        <color theme="1"/>
        <rFont val="Times New Roman"/>
        <family val="1"/>
      </rPr>
      <t>+</t>
    </r>
    <r>
      <rPr>
        <sz val="9"/>
        <color theme="1"/>
        <rFont val="Times New Roman"/>
        <family val="1"/>
      </rPr>
      <t xml:space="preserve"> ( Q≤4)</t>
    </r>
  </si>
  <si>
    <t>Classe A (4,0≤Q≤6,0)</t>
  </si>
  <si>
    <t>Classe B (6,0≤Q≤9,0)</t>
  </si>
  <si>
    <t>Classe C (9,0≤Q≤12,0)</t>
  </si>
  <si>
    <t>Classe D (12,0≤Q≤15,0)</t>
  </si>
  <si>
    <t>Classe E (15,0≤Q)</t>
  </si>
  <si>
    <t>Equipamento recomendado</t>
  </si>
  <si>
    <t>Legenda Cores:</t>
  </si>
  <si>
    <t>IDENTIFICAÇÃO POSTAL</t>
  </si>
  <si>
    <t>Morada:</t>
  </si>
  <si>
    <t>Localidade:</t>
  </si>
  <si>
    <t>Concelho:</t>
  </si>
  <si>
    <t>Classe Hídrica</t>
  </si>
  <si>
    <t>Mais Eficiente</t>
  </si>
  <si>
    <t>Menos Eficiente</t>
  </si>
  <si>
    <t>Indicadores de Desempenho</t>
  </si>
  <si>
    <t>Contributo Sistemas Aproveitamento de Águas</t>
  </si>
  <si>
    <t xml:space="preserve">Melhorias </t>
  </si>
  <si>
    <t>A presente certificação indica a classificação hídrica deste edifício residencial. A classificação é calculada através da contabilização</t>
  </si>
  <si>
    <t>Contributos dos sistemas de aproveitamento de águas na redução do consumo de água dos equipamentos alimentados por esta fonte.</t>
  </si>
  <si>
    <t>Estimativa do Consumo Anual de Água (m3)</t>
  </si>
  <si>
    <t>Reservatórios Ecodepur</t>
  </si>
  <si>
    <t>Modelo</t>
  </si>
  <si>
    <t>Volume (m3)</t>
  </si>
  <si>
    <t>Custo (€)</t>
  </si>
  <si>
    <t>Biox 6</t>
  </si>
  <si>
    <t>Biox 20</t>
  </si>
  <si>
    <t>Biox VT5</t>
  </si>
  <si>
    <t>Biox VT10</t>
  </si>
  <si>
    <t>Biox VT 15</t>
  </si>
  <si>
    <t>Biox 10</t>
  </si>
  <si>
    <t>Custo estimado do investimento (euros)</t>
  </si>
  <si>
    <t>Torneira Lavatório</t>
  </si>
  <si>
    <t xml:space="preserve">Torniera de Cozinha </t>
  </si>
  <si>
    <r>
      <rPr>
        <b/>
        <sz val="7"/>
        <color rgb="FFFF0000"/>
        <rFont val="Times New Roman"/>
        <family val="1"/>
      </rPr>
      <t>*</t>
    </r>
    <r>
      <rPr>
        <sz val="7"/>
        <color theme="1"/>
        <rFont val="Times New Roman"/>
        <family val="1"/>
      </rPr>
      <t xml:space="preserve">Quando os valores das reduções aparecem negativos significa que o equipamento presente na residencia em avaliação não necessita de melhoria. </t>
    </r>
  </si>
  <si>
    <t>Reservatório com 3 m3</t>
  </si>
  <si>
    <t>Reservatório com 2 m3</t>
  </si>
  <si>
    <t xml:space="preserve">Sistema de Aproveitamento de Águas Cinzentas </t>
  </si>
  <si>
    <t>Consumo (l/habitante/dia)</t>
  </si>
  <si>
    <t>Estimativa Consumo Limite Anual (m3)</t>
  </si>
  <si>
    <t>Reservatório com 1 m3</t>
  </si>
  <si>
    <t xml:space="preserve">Estimativa do consumo anual de água </t>
  </si>
  <si>
    <r>
      <rPr>
        <sz val="7"/>
        <color rgb="FFFF0000"/>
        <rFont val="Times New Roman"/>
        <family val="1"/>
      </rPr>
      <t>*</t>
    </r>
    <r>
      <rPr>
        <sz val="7"/>
        <color theme="1"/>
        <rFont val="Times New Roman"/>
        <family val="1"/>
      </rPr>
      <t>A redução é aplicável apenas aos equipamentos que possam ser abastecidos por esta fonte.</t>
    </r>
  </si>
  <si>
    <t xml:space="preserve">Poupança </t>
  </si>
  <si>
    <t>Volume de água cinzenta consumida (m3)</t>
  </si>
  <si>
    <t xml:space="preserve">          5. </t>
  </si>
  <si>
    <t>Simple Payback</t>
  </si>
  <si>
    <t>SISTEMA DE APROVEITAMENTO DE ÁGUAS PLUVIAIS</t>
  </si>
  <si>
    <t xml:space="preserve">           CERTIFICAÇÃO HÍDRICA (Habitação Residencial)</t>
  </si>
  <si>
    <t xml:space="preserve">      5.</t>
  </si>
  <si>
    <t xml:space="preserve">Preços Reservatórios </t>
  </si>
  <si>
    <t>Fornecedor</t>
  </si>
  <si>
    <t>Coeficiente de Escoamento</t>
  </si>
  <si>
    <t xml:space="preserve">                CERTIFICAÇÃO HÍDRICA (Habitação Residencial)</t>
  </si>
  <si>
    <t xml:space="preserve">                                CERTIFICAÇÃO HÍDRICA (Habitação Residencial)</t>
  </si>
  <si>
    <t xml:space="preserve">                                         CERTIFICAÇÃO HÍDRICA (Habitação Residencial)</t>
  </si>
  <si>
    <t xml:space="preserve">       CERTIFICAÇÃO HÍDRICA (Habitação Residencial)</t>
  </si>
  <si>
    <t>Coluna de colocação de "X"</t>
  </si>
  <si>
    <t>Dados da Precipitação e Volumes de Água Consumos e no Reservatório:</t>
  </si>
  <si>
    <t>Valores dos Reservatórios</t>
  </si>
  <si>
    <t>Seleção</t>
  </si>
  <si>
    <t>Disponibilidade anual de águas cinzentas</t>
  </si>
  <si>
    <t>dos consumos da habitação, comparando-os posteriormente com uma estimativa de consumos de uma habitação-referência.</t>
  </si>
  <si>
    <t>Dupla descarga, classe A (6,0/6,5)</t>
  </si>
  <si>
    <t>Dupla descarga, classe B (7,0/7,5)</t>
  </si>
  <si>
    <t>Dupla descarga, classe C (8,5/9,0)</t>
  </si>
  <si>
    <t>Preço da água</t>
  </si>
  <si>
    <t>IVA à taxa legal (%)</t>
  </si>
  <si>
    <r>
      <rPr>
        <sz val="7"/>
        <color rgb="FFFF0000"/>
        <rFont val="Times New Roman"/>
        <family val="1"/>
      </rPr>
      <t>*</t>
    </r>
    <r>
      <rPr>
        <sz val="7"/>
        <color theme="1"/>
        <rFont val="Times New Roman"/>
        <family val="1"/>
      </rPr>
      <t>Sujeito a atualização</t>
    </r>
  </si>
  <si>
    <t xml:space="preserve">IVA à taxa legal (%) </t>
  </si>
  <si>
    <t>Preencher com dados da habitação (opcional)</t>
  </si>
  <si>
    <t>Dupla descarga, classe A+ (3,5/5,5)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</si>
</sst>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3" tint="-0.249977111117893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9"/>
      <color theme="1"/>
      <name val="Times New Roman"/>
      <family val="1"/>
    </font>
    <font>
      <b/>
      <sz val="12"/>
      <color theme="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9"/>
      <color theme="0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3" tint="-0.249977111117893"/>
      <name val="Times New Roman"/>
      <family val="1"/>
    </font>
    <font>
      <b/>
      <sz val="9"/>
      <color theme="1"/>
      <name val="Times New Roman"/>
      <family val="1"/>
    </font>
    <font>
      <vertAlign val="superscript"/>
      <sz val="9"/>
      <color theme="1"/>
      <name val="Times New Roman"/>
      <family val="1"/>
    </font>
    <font>
      <sz val="9"/>
      <color theme="3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0"/>
      <color theme="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0"/>
      <name val="Times New Roman"/>
      <family val="1"/>
    </font>
    <font>
      <sz val="11"/>
      <color theme="3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Times New Roman"/>
      <family val="1"/>
    </font>
    <font>
      <b/>
      <sz val="11"/>
      <color theme="0"/>
      <name val="Times New Roman"/>
      <family val="1"/>
    </font>
    <font>
      <sz val="7"/>
      <color theme="1"/>
      <name val="Times New Roman"/>
      <family val="1"/>
    </font>
    <font>
      <b/>
      <sz val="7"/>
      <color rgb="FFFF0000"/>
      <name val="Times New Roman"/>
      <family val="1"/>
    </font>
    <font>
      <b/>
      <sz val="7"/>
      <color theme="3" tint="-0.499984740745262"/>
      <name val="Times New Roman"/>
      <family val="1"/>
    </font>
    <font>
      <sz val="7"/>
      <color rgb="FFFF0000"/>
      <name val="Times New Roman"/>
      <family val="1"/>
    </font>
    <font>
      <b/>
      <sz val="14"/>
      <color theme="3" tint="-0.49998474074526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84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B0F0"/>
      </left>
      <right style="dashed">
        <color rgb="FF00B0F0"/>
      </right>
      <top style="medium">
        <color rgb="FF00B0F0"/>
      </top>
      <bottom style="dashed">
        <color rgb="FF00B0F0"/>
      </bottom>
      <diagonal/>
    </border>
    <border>
      <left style="medium">
        <color rgb="FF00B0F0"/>
      </left>
      <right style="dashed">
        <color rgb="FF00B0F0"/>
      </right>
      <top style="dashed">
        <color rgb="FF00B0F0"/>
      </top>
      <bottom style="dashed">
        <color rgb="FF00B0F0"/>
      </bottom>
      <diagonal/>
    </border>
    <border>
      <left style="dashed">
        <color rgb="FF00B0F0"/>
      </left>
      <right style="medium">
        <color rgb="FF00B0F0"/>
      </right>
      <top style="dashed">
        <color rgb="FF00B0F0"/>
      </top>
      <bottom style="dashed">
        <color rgb="FF00B0F0"/>
      </bottom>
      <diagonal/>
    </border>
    <border>
      <left style="medium">
        <color rgb="FF00B0F0"/>
      </left>
      <right style="dashed">
        <color rgb="FF00B0F0"/>
      </right>
      <top style="dashed">
        <color rgb="FF00B0F0"/>
      </top>
      <bottom style="medium">
        <color rgb="FF00B0F0"/>
      </bottom>
      <diagonal/>
    </border>
    <border>
      <left style="dashed">
        <color rgb="FF00B0F0"/>
      </left>
      <right style="medium">
        <color rgb="FF00B0F0"/>
      </right>
      <top style="dashed">
        <color rgb="FF00B0F0"/>
      </top>
      <bottom style="medium">
        <color rgb="FF00B0F0"/>
      </bottom>
      <diagonal/>
    </border>
    <border>
      <left/>
      <right style="dashed">
        <color rgb="FF00B0F0"/>
      </right>
      <top style="dashed">
        <color rgb="FF00B0F0"/>
      </top>
      <bottom style="dashed">
        <color rgb="FF00B0F0"/>
      </bottom>
      <diagonal/>
    </border>
    <border>
      <left/>
      <right style="dashed">
        <color rgb="FF00B0F0"/>
      </right>
      <top style="dashed">
        <color rgb="FF00B0F0"/>
      </top>
      <bottom style="medium">
        <color rgb="FF00B0F0"/>
      </bottom>
      <diagonal/>
    </border>
    <border>
      <left style="dashed">
        <color rgb="FF00B0F0"/>
      </left>
      <right/>
      <top style="medium">
        <color rgb="FF00B0F0"/>
      </top>
      <bottom style="dashed">
        <color rgb="FF00B0F0"/>
      </bottom>
      <diagonal/>
    </border>
    <border>
      <left style="dashed">
        <color rgb="FF00B0F0"/>
      </left>
      <right/>
      <top style="dashed">
        <color rgb="FF00B0F0"/>
      </top>
      <bottom style="dashed">
        <color rgb="FF00B0F0"/>
      </bottom>
      <diagonal/>
    </border>
    <border>
      <left style="dashed">
        <color rgb="FF00B0F0"/>
      </left>
      <right/>
      <top style="dashed">
        <color rgb="FF00B0F0"/>
      </top>
      <bottom style="medium">
        <color rgb="FF00B0F0"/>
      </bottom>
      <diagonal/>
    </border>
    <border>
      <left style="dashed">
        <color rgb="FF00B0F0"/>
      </left>
      <right style="dashed">
        <color rgb="FF00B0F0"/>
      </right>
      <top style="dashed">
        <color rgb="FF00B0F0"/>
      </top>
      <bottom style="dashed">
        <color rgb="FF00B0F0"/>
      </bottom>
      <diagonal/>
    </border>
    <border>
      <left/>
      <right/>
      <top style="medium">
        <color rgb="FF00B0F0"/>
      </top>
      <bottom/>
      <diagonal/>
    </border>
    <border>
      <left style="dashed">
        <color rgb="FF00B0F0"/>
      </left>
      <right style="dashed">
        <color rgb="FF00B0F0"/>
      </right>
      <top style="dashed">
        <color rgb="FF00B0F0"/>
      </top>
      <bottom/>
      <diagonal/>
    </border>
    <border>
      <left style="dashed">
        <color rgb="FF00B0F0"/>
      </left>
      <right style="medium">
        <color rgb="FF00B0F0"/>
      </right>
      <top style="dashed">
        <color rgb="FF00B0F0"/>
      </top>
      <bottom/>
      <diagonal/>
    </border>
    <border>
      <left style="medium">
        <color rgb="FF00B0F0"/>
      </left>
      <right style="dashed">
        <color rgb="FF00B0F0"/>
      </right>
      <top style="medium">
        <color rgb="FF00B0F0"/>
      </top>
      <bottom style="medium">
        <color rgb="FF00B0F0"/>
      </bottom>
      <diagonal/>
    </border>
    <border>
      <left style="dashed">
        <color rgb="FF00B0F0"/>
      </left>
      <right style="dashed">
        <color rgb="FF00B0F0"/>
      </right>
      <top style="medium">
        <color rgb="FF00B0F0"/>
      </top>
      <bottom style="medium">
        <color rgb="FF00B0F0"/>
      </bottom>
      <diagonal/>
    </border>
    <border>
      <left style="dashed">
        <color rgb="FF00B0F0"/>
      </left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dashed">
        <color rgb="FF00B0F0"/>
      </left>
      <right style="dashed">
        <color rgb="FF00B0F0"/>
      </right>
      <top/>
      <bottom style="dashed">
        <color rgb="FF00B0F0"/>
      </bottom>
      <diagonal/>
    </border>
    <border>
      <left style="dashed">
        <color rgb="FF00B0F0"/>
      </left>
      <right style="medium">
        <color rgb="FF00B0F0"/>
      </right>
      <top/>
      <bottom style="dashed">
        <color rgb="FF00B0F0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/>
      <right style="dashed">
        <color rgb="FF00B0F0"/>
      </right>
      <top style="medium">
        <color rgb="FF00B0F0"/>
      </top>
      <bottom style="medium">
        <color rgb="FF00B0F0"/>
      </bottom>
      <diagonal/>
    </border>
    <border>
      <left/>
      <right style="dashed">
        <color rgb="FF00B0F0"/>
      </right>
      <top/>
      <bottom style="dashed">
        <color rgb="FF00B0F0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 style="medium">
        <color rgb="FF00B0F0"/>
      </right>
      <top/>
      <bottom/>
      <diagonal/>
    </border>
    <border>
      <left style="medium">
        <color rgb="FF00B0F0"/>
      </left>
      <right style="medium">
        <color rgb="FF00B0F0"/>
      </right>
      <top/>
      <bottom style="dashed">
        <color rgb="FF00B0F0"/>
      </bottom>
      <diagonal/>
    </border>
    <border>
      <left/>
      <right style="dashed">
        <color rgb="FF00B0F0"/>
      </right>
      <top style="dashed">
        <color rgb="FF00B0F0"/>
      </top>
      <bottom/>
      <diagonal/>
    </border>
    <border>
      <left style="medium">
        <color rgb="FF00B0F0"/>
      </left>
      <right style="medium">
        <color rgb="FF00B0F0"/>
      </right>
      <top style="dashed">
        <color rgb="FF00B0F0"/>
      </top>
      <bottom/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 style="medium">
        <color rgb="FF00B0F0"/>
      </left>
      <right style="dotted">
        <color rgb="FF00B0F0"/>
      </right>
      <top style="medium">
        <color rgb="FF00B0F0"/>
      </top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 style="medium">
        <color rgb="FF00B0F0"/>
      </top>
      <bottom style="dotted">
        <color rgb="FF00B0F0"/>
      </bottom>
      <diagonal/>
    </border>
    <border>
      <left style="dotted">
        <color rgb="FF00B0F0"/>
      </left>
      <right style="medium">
        <color rgb="FF00B0F0"/>
      </right>
      <top style="medium">
        <color rgb="FF00B0F0"/>
      </top>
      <bottom style="dotted">
        <color rgb="FF00B0F0"/>
      </bottom>
      <diagonal/>
    </border>
    <border>
      <left style="medium">
        <color rgb="FF00B0F0"/>
      </left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 style="dotted">
        <color rgb="FF00B0F0"/>
      </left>
      <right style="medium">
        <color rgb="FF00B0F0"/>
      </right>
      <top style="dotted">
        <color rgb="FF00B0F0"/>
      </top>
      <bottom style="dotted">
        <color rgb="FF00B0F0"/>
      </bottom>
      <diagonal/>
    </border>
    <border>
      <left style="medium">
        <color rgb="FF00B0F0"/>
      </left>
      <right style="dotted">
        <color rgb="FF00B0F0"/>
      </right>
      <top style="dotted">
        <color rgb="FF00B0F0"/>
      </top>
      <bottom style="medium">
        <color rgb="FF00B0F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medium">
        <color rgb="FF00B0F0"/>
      </bottom>
      <diagonal/>
    </border>
    <border>
      <left style="dotted">
        <color rgb="FF00B0F0"/>
      </left>
      <right style="medium">
        <color rgb="FF00B0F0"/>
      </right>
      <top style="dotted">
        <color rgb="FF00B0F0"/>
      </top>
      <bottom style="medium">
        <color rgb="FF00B0F0"/>
      </bottom>
      <diagonal/>
    </border>
    <border>
      <left/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/>
      <right/>
      <top/>
      <bottom style="medium">
        <color theme="3" tint="-0.249977111117893"/>
      </bottom>
      <diagonal/>
    </border>
    <border>
      <left/>
      <right style="dotted">
        <color rgb="FF00B0F0"/>
      </right>
      <top style="medium">
        <color rgb="FF00B0F0"/>
      </top>
      <bottom style="dotted">
        <color rgb="FF00B0F0"/>
      </bottom>
      <diagonal/>
    </border>
    <border>
      <left/>
      <right style="dotted">
        <color rgb="FF00B0F0"/>
      </right>
      <top style="dotted">
        <color rgb="FF00B0F0"/>
      </top>
      <bottom style="medium">
        <color rgb="FF00B0F0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dotted">
        <color rgb="FF00B0F0"/>
      </bottom>
      <diagonal/>
    </border>
    <border>
      <left style="medium">
        <color rgb="FF00B0F0"/>
      </left>
      <right style="medium">
        <color rgb="FF00B0F0"/>
      </right>
      <top style="dotted">
        <color rgb="FF00B0F0"/>
      </top>
      <bottom style="dotted">
        <color rgb="FF00B0F0"/>
      </bottom>
      <diagonal/>
    </border>
    <border>
      <left style="medium">
        <color rgb="FF00B0F0"/>
      </left>
      <right style="medium">
        <color rgb="FF00B0F0"/>
      </right>
      <top style="dotted">
        <color rgb="FF00B0F0"/>
      </top>
      <bottom style="medium">
        <color rgb="FF00B0F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rgb="FF00B0F0"/>
      </top>
      <bottom style="dashed">
        <color rgb="FF00B0F0"/>
      </bottom>
      <diagonal/>
    </border>
    <border>
      <left/>
      <right style="medium">
        <color rgb="FF00B0F0"/>
      </right>
      <top style="medium">
        <color rgb="FF00B0F0"/>
      </top>
      <bottom style="dashed">
        <color rgb="FF00B0F0"/>
      </bottom>
      <diagonal/>
    </border>
    <border>
      <left/>
      <right/>
      <top/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dotted">
        <color rgb="FF00B0F0"/>
      </bottom>
      <diagonal/>
    </border>
    <border>
      <left/>
      <right style="medium">
        <color rgb="FF00B0F0"/>
      </right>
      <top style="dotted">
        <color rgb="FF00B0F0"/>
      </top>
      <bottom style="dotted">
        <color rgb="FF00B0F0"/>
      </bottom>
      <diagonal/>
    </border>
    <border>
      <left/>
      <right style="medium">
        <color rgb="FF00B0F0"/>
      </right>
      <top style="dotted">
        <color rgb="FF00B0F0"/>
      </top>
      <bottom style="medium">
        <color rgb="FF00B0F0"/>
      </bottom>
      <diagonal/>
    </border>
    <border>
      <left style="dotted">
        <color rgb="FF00B0F0"/>
      </left>
      <right style="dotted">
        <color rgb="FF00B0F0"/>
      </right>
      <top/>
      <bottom style="dotted">
        <color rgb="FF00B0F0"/>
      </bottom>
      <diagonal/>
    </border>
    <border>
      <left style="medium">
        <color rgb="FF00B0F0"/>
      </left>
      <right style="medium">
        <color rgb="FF00B0F0"/>
      </right>
      <top/>
      <bottom style="dotted">
        <color rgb="FF00B0F0"/>
      </bottom>
      <diagonal/>
    </border>
    <border>
      <left/>
      <right style="dotted">
        <color rgb="FF00B0F0"/>
      </right>
      <top/>
      <bottom style="dotted">
        <color rgb="FF00B0F0"/>
      </bottom>
      <diagonal/>
    </border>
    <border>
      <left/>
      <right style="hair">
        <color rgb="FF00B0F0"/>
      </right>
      <top style="medium">
        <color rgb="FF00B0F0"/>
      </top>
      <bottom style="hair">
        <color rgb="FF00B0F0"/>
      </bottom>
      <diagonal/>
    </border>
    <border>
      <left/>
      <right style="hair">
        <color rgb="FF00B0F0"/>
      </right>
      <top style="hair">
        <color rgb="FF00B0F0"/>
      </top>
      <bottom style="medium">
        <color rgb="FF00B0F0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hair">
        <color rgb="FF00B0F0"/>
      </bottom>
      <diagonal/>
    </border>
    <border>
      <left style="medium">
        <color rgb="FF00B0F0"/>
      </left>
      <right style="medium">
        <color rgb="FF00B0F0"/>
      </right>
      <top style="hair">
        <color rgb="FF00B0F0"/>
      </top>
      <bottom style="medium">
        <color rgb="FF00B0F0"/>
      </bottom>
      <diagonal/>
    </border>
    <border>
      <left style="medium">
        <color rgb="FF00B0F0"/>
      </left>
      <right/>
      <top/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/>
      <bottom/>
      <diagonal/>
    </border>
    <border>
      <left/>
      <right style="medium">
        <color rgb="FF00B0F0"/>
      </right>
      <top/>
      <bottom/>
      <diagonal/>
    </border>
    <border>
      <left style="dotted">
        <color rgb="FF00B0F0"/>
      </left>
      <right/>
      <top style="medium">
        <color rgb="FF00B0F0"/>
      </top>
      <bottom style="dotted">
        <color rgb="FF00B0F0"/>
      </bottom>
      <diagonal/>
    </border>
    <border>
      <left style="dotted">
        <color rgb="FF00B0F0"/>
      </left>
      <right/>
      <top style="dotted">
        <color rgb="FF00B0F0"/>
      </top>
      <bottom style="dotted">
        <color rgb="FF00B0F0"/>
      </bottom>
      <diagonal/>
    </border>
    <border>
      <left style="medium">
        <color rgb="FF00B0F0"/>
      </left>
      <right style="dotted">
        <color rgb="FF00B0F0"/>
      </right>
      <top style="dotted">
        <color rgb="FF00B0F0"/>
      </top>
      <bottom/>
      <diagonal/>
    </border>
    <border>
      <left style="dotted">
        <color rgb="FF00B0F0"/>
      </left>
      <right/>
      <top style="dotted">
        <color rgb="FF00B0F0"/>
      </top>
      <bottom/>
      <diagonal/>
    </border>
    <border>
      <left style="medium">
        <color rgb="FF00B0F0"/>
      </left>
      <right style="dotted">
        <color rgb="FF00B0F0"/>
      </right>
      <top style="medium">
        <color rgb="FF00B0F0"/>
      </top>
      <bottom/>
      <diagonal/>
    </border>
    <border>
      <left style="dotted">
        <color rgb="FF00B0F0"/>
      </left>
      <right style="dotted">
        <color rgb="FF00B0F0"/>
      </right>
      <top style="medium">
        <color rgb="FF00B0F0"/>
      </top>
      <bottom/>
      <diagonal/>
    </border>
    <border>
      <left style="dotted">
        <color rgb="FF00B0F0"/>
      </left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 style="dotted">
        <color rgb="FF00B0F0"/>
      </right>
      <top/>
      <bottom style="dotted">
        <color rgb="FF00B0F0"/>
      </bottom>
      <diagonal/>
    </border>
    <border>
      <left style="dotted">
        <color rgb="FF00B0F0"/>
      </left>
      <right style="medium">
        <color rgb="FF00B0F0"/>
      </right>
      <top/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/>
      <bottom/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/>
      <diagonal/>
    </border>
    <border>
      <left style="dotted">
        <color rgb="FF00B0F0"/>
      </left>
      <right style="dotted">
        <color rgb="FF00B0F0"/>
      </right>
      <top/>
      <bottom style="medium">
        <color rgb="FF00B0F0"/>
      </bottom>
      <diagonal/>
    </border>
    <border>
      <left style="hair">
        <color rgb="FF00B0F0"/>
      </left>
      <right style="dotted">
        <color rgb="FF00B0F0"/>
      </right>
      <top style="medium">
        <color rgb="FF00B0F0"/>
      </top>
      <bottom style="dotted">
        <color rgb="FF00B0F0"/>
      </bottom>
      <diagonal/>
    </border>
    <border>
      <left style="hair">
        <color rgb="FF00B0F0"/>
      </left>
      <right style="dotted">
        <color rgb="FF00B0F0"/>
      </right>
      <top style="dotted">
        <color rgb="FF00B0F0"/>
      </top>
      <bottom style="medium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</borders>
  <cellStyleXfs count="1">
    <xf numFmtId="0" fontId="0" fillId="0" borderId="0"/>
  </cellStyleXfs>
  <cellXfs count="42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vertical="center"/>
    </xf>
    <xf numFmtId="1" fontId="0" fillId="0" borderId="0" xfId="0" applyNumberFormat="1"/>
    <xf numFmtId="0" fontId="5" fillId="0" borderId="0" xfId="0" applyNumberFormat="1" applyFont="1" applyAlignment="1">
      <alignment horizontal="center" wrapText="1"/>
    </xf>
    <xf numFmtId="0" fontId="6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3" fillId="0" borderId="0" xfId="0" applyFont="1"/>
    <xf numFmtId="1" fontId="13" fillId="0" borderId="0" xfId="0" applyNumberFormat="1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8" fillId="7" borderId="12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/>
    </xf>
    <xf numFmtId="1" fontId="8" fillId="7" borderId="12" xfId="0" applyNumberFormat="1" applyFont="1" applyFill="1" applyBorder="1" applyAlignment="1">
      <alignment horizontal="center" vertical="center"/>
    </xf>
    <xf numFmtId="9" fontId="8" fillId="7" borderId="4" xfId="0" applyNumberFormat="1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/>
    </xf>
    <xf numFmtId="0" fontId="15" fillId="7" borderId="13" xfId="0" applyFont="1" applyFill="1" applyBorder="1" applyAlignment="1">
      <alignment horizontal="center" vertical="center" wrapText="1"/>
    </xf>
    <xf numFmtId="1" fontId="8" fillId="7" borderId="14" xfId="0" applyNumberFormat="1" applyFont="1" applyFill="1" applyBorder="1" applyAlignment="1">
      <alignment horizontal="center" vertical="center"/>
    </xf>
    <xf numFmtId="9" fontId="8" fillId="7" borderId="15" xfId="0" applyNumberFormat="1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 wrapText="1"/>
    </xf>
    <xf numFmtId="0" fontId="8" fillId="7" borderId="19" xfId="0" applyFont="1" applyFill="1" applyBorder="1" applyAlignment="1">
      <alignment horizontal="center" vertical="center"/>
    </xf>
    <xf numFmtId="1" fontId="8" fillId="7" borderId="19" xfId="0" applyNumberFormat="1" applyFont="1" applyFill="1" applyBorder="1" applyAlignment="1">
      <alignment horizontal="center" vertical="center"/>
    </xf>
    <xf numFmtId="9" fontId="8" fillId="7" borderId="20" xfId="0" applyNumberFormat="1" applyFont="1" applyFill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13" fillId="9" borderId="0" xfId="0" applyFont="1" applyFill="1"/>
    <xf numFmtId="0" fontId="17" fillId="9" borderId="0" xfId="0" applyFont="1" applyFill="1"/>
    <xf numFmtId="0" fontId="12" fillId="9" borderId="0" xfId="0" applyFont="1" applyFill="1" applyAlignment="1">
      <alignment vertical="center"/>
    </xf>
    <xf numFmtId="0" fontId="19" fillId="9" borderId="0" xfId="0" applyFont="1" applyFill="1" applyAlignment="1">
      <alignment vertical="center"/>
    </xf>
    <xf numFmtId="0" fontId="19" fillId="9" borderId="0" xfId="0" applyFont="1" applyFill="1"/>
    <xf numFmtId="1" fontId="19" fillId="9" borderId="0" xfId="0" applyNumberFormat="1" applyFont="1" applyFill="1"/>
    <xf numFmtId="0" fontId="9" fillId="9" borderId="0" xfId="0" applyFont="1" applyFill="1" applyAlignment="1">
      <alignment vertical="center"/>
    </xf>
    <xf numFmtId="0" fontId="8" fillId="7" borderId="13" xfId="0" applyFont="1" applyFill="1" applyBorder="1"/>
    <xf numFmtId="0" fontId="8" fillId="4" borderId="16" xfId="0" applyFont="1" applyFill="1" applyBorder="1" applyAlignment="1">
      <alignment horizontal="center" vertical="center"/>
    </xf>
    <xf numFmtId="1" fontId="8" fillId="4" borderId="17" xfId="0" applyNumberFormat="1" applyFont="1" applyFill="1" applyBorder="1" applyAlignment="1">
      <alignment horizontal="center" vertical="center" wrapText="1"/>
    </xf>
    <xf numFmtId="9" fontId="8" fillId="4" borderId="18" xfId="0" applyNumberFormat="1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27" xfId="0" applyFont="1" applyFill="1" applyBorder="1" applyAlignment="1">
      <alignment horizontal="center" vertical="center" wrapText="1"/>
    </xf>
    <xf numFmtId="0" fontId="13" fillId="10" borderId="0" xfId="0" applyFont="1" applyFill="1"/>
    <xf numFmtId="0" fontId="14" fillId="10" borderId="0" xfId="0" applyFont="1" applyFill="1"/>
    <xf numFmtId="1" fontId="13" fillId="10" borderId="0" xfId="0" applyNumberFormat="1" applyFont="1" applyFill="1"/>
    <xf numFmtId="0" fontId="3" fillId="10" borderId="0" xfId="0" applyFont="1" applyFill="1" applyAlignment="1">
      <alignment vertical="center"/>
    </xf>
    <xf numFmtId="0" fontId="22" fillId="9" borderId="0" xfId="0" applyFont="1" applyFill="1" applyAlignment="1"/>
    <xf numFmtId="0" fontId="23" fillId="9" borderId="0" xfId="0" applyFont="1" applyFill="1" applyAlignment="1"/>
    <xf numFmtId="1" fontId="23" fillId="9" borderId="0" xfId="0" applyNumberFormat="1" applyFont="1" applyFill="1" applyAlignment="1"/>
    <xf numFmtId="0" fontId="24" fillId="3" borderId="31" xfId="0" applyFont="1" applyFill="1" applyBorder="1" applyAlignment="1">
      <alignment horizontal="center" vertical="center" wrapText="1"/>
    </xf>
    <xf numFmtId="0" fontId="24" fillId="3" borderId="32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15" fillId="0" borderId="25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/>
    </xf>
    <xf numFmtId="0" fontId="15" fillId="8" borderId="35" xfId="0" applyFont="1" applyFill="1" applyBorder="1" applyAlignment="1">
      <alignment horizontal="center" vertical="center" wrapText="1"/>
    </xf>
    <xf numFmtId="1" fontId="8" fillId="0" borderId="35" xfId="0" applyNumberFormat="1" applyFont="1" applyBorder="1" applyAlignment="1">
      <alignment horizontal="center" vertical="center" wrapText="1"/>
    </xf>
    <xf numFmtId="1" fontId="8" fillId="0" borderId="36" xfId="0" applyNumberFormat="1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15" fillId="8" borderId="38" xfId="0" applyFont="1" applyFill="1" applyBorder="1" applyAlignment="1">
      <alignment horizontal="center" vertical="center" wrapText="1"/>
    </xf>
    <xf numFmtId="1" fontId="8" fillId="0" borderId="38" xfId="0" applyNumberFormat="1" applyFont="1" applyBorder="1" applyAlignment="1">
      <alignment horizontal="center" vertical="center" wrapText="1"/>
    </xf>
    <xf numFmtId="1" fontId="8" fillId="0" borderId="39" xfId="0" applyNumberFormat="1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15" fillId="8" borderId="41" xfId="0" applyFont="1" applyFill="1" applyBorder="1" applyAlignment="1">
      <alignment horizontal="center" vertical="center" wrapText="1"/>
    </xf>
    <xf numFmtId="1" fontId="8" fillId="0" borderId="41" xfId="0" applyNumberFormat="1" applyFont="1" applyBorder="1" applyAlignment="1">
      <alignment horizontal="center" vertical="center" wrapText="1"/>
    </xf>
    <xf numFmtId="1" fontId="8" fillId="0" borderId="42" xfId="0" applyNumberFormat="1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8" fillId="11" borderId="34" xfId="0" applyFont="1" applyFill="1" applyBorder="1" applyAlignment="1">
      <alignment horizontal="center" vertical="center" wrapText="1"/>
    </xf>
    <xf numFmtId="0" fontId="2" fillId="0" borderId="25" xfId="0" applyFont="1" applyBorder="1" applyAlignment="1"/>
    <xf numFmtId="0" fontId="2" fillId="0" borderId="25" xfId="0" applyFont="1" applyBorder="1"/>
    <xf numFmtId="0" fontId="2" fillId="0" borderId="29" xfId="0" applyFont="1" applyBorder="1"/>
    <xf numFmtId="0" fontId="8" fillId="11" borderId="37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vertical="center" wrapText="1"/>
    </xf>
    <xf numFmtId="0" fontId="13" fillId="11" borderId="0" xfId="0" applyFont="1" applyFill="1" applyAlignment="1">
      <alignment vertical="center" wrapText="1"/>
    </xf>
    <xf numFmtId="0" fontId="15" fillId="0" borderId="0" xfId="0" applyFont="1"/>
    <xf numFmtId="0" fontId="0" fillId="0" borderId="3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" fontId="8" fillId="12" borderId="35" xfId="0" applyNumberFormat="1" applyFont="1" applyFill="1" applyBorder="1" applyAlignment="1">
      <alignment horizontal="center" vertical="center" wrapText="1"/>
    </xf>
    <xf numFmtId="1" fontId="8" fillId="12" borderId="38" xfId="0" applyNumberFormat="1" applyFont="1" applyFill="1" applyBorder="1" applyAlignment="1">
      <alignment horizontal="center" vertical="center" wrapText="1"/>
    </xf>
    <xf numFmtId="1" fontId="8" fillId="12" borderId="41" xfId="0" applyNumberFormat="1" applyFont="1" applyFill="1" applyBorder="1" applyAlignment="1">
      <alignment horizontal="center" vertical="center" wrapText="1"/>
    </xf>
    <xf numFmtId="0" fontId="15" fillId="12" borderId="29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wrapText="1"/>
    </xf>
    <xf numFmtId="0" fontId="8" fillId="0" borderId="34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3" fillId="12" borderId="0" xfId="0" applyFont="1" applyFill="1" applyAlignment="1">
      <alignment wrapText="1"/>
    </xf>
    <xf numFmtId="0" fontId="0" fillId="5" borderId="0" xfId="0" applyFill="1"/>
    <xf numFmtId="0" fontId="3" fillId="5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0" fillId="0" borderId="44" xfId="0" applyBorder="1"/>
    <xf numFmtId="0" fontId="25" fillId="0" borderId="0" xfId="0" applyFont="1"/>
    <xf numFmtId="0" fontId="23" fillId="0" borderId="0" xfId="0" applyFont="1"/>
    <xf numFmtId="0" fontId="0" fillId="9" borderId="0" xfId="0" applyFill="1"/>
    <xf numFmtId="0" fontId="18" fillId="9" borderId="0" xfId="0" applyFont="1" applyFill="1"/>
    <xf numFmtId="0" fontId="8" fillId="0" borderId="0" xfId="0" applyFont="1" applyAlignment="1"/>
    <xf numFmtId="0" fontId="15" fillId="2" borderId="29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8" fillId="0" borderId="0" xfId="0" applyFont="1"/>
    <xf numFmtId="0" fontId="0" fillId="0" borderId="33" xfId="0" applyBorder="1"/>
    <xf numFmtId="0" fontId="15" fillId="3" borderId="32" xfId="0" applyFont="1" applyFill="1" applyBorder="1" applyAlignment="1">
      <alignment horizont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9" fontId="0" fillId="9" borderId="0" xfId="0" applyNumberFormat="1" applyFill="1"/>
    <xf numFmtId="0" fontId="3" fillId="9" borderId="0" xfId="0" applyFont="1" applyFill="1" applyAlignment="1">
      <alignment vertical="center"/>
    </xf>
    <xf numFmtId="1" fontId="8" fillId="0" borderId="45" xfId="0" applyNumberFormat="1" applyFont="1" applyBorder="1" applyAlignment="1">
      <alignment horizontal="center" vertical="center" wrapText="1"/>
    </xf>
    <xf numFmtId="1" fontId="8" fillId="0" borderId="43" xfId="0" applyNumberFormat="1" applyFont="1" applyBorder="1" applyAlignment="1">
      <alignment horizontal="center" vertical="center" wrapText="1"/>
    </xf>
    <xf numFmtId="1" fontId="8" fillId="0" borderId="46" xfId="0" applyNumberFormat="1" applyFont="1" applyBorder="1" applyAlignment="1">
      <alignment horizontal="center" vertical="center" wrapText="1"/>
    </xf>
    <xf numFmtId="1" fontId="8" fillId="0" borderId="21" xfId="0" applyNumberFormat="1" applyFont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1" fontId="14" fillId="5" borderId="21" xfId="0" applyNumberFormat="1" applyFont="1" applyFill="1" applyBorder="1" applyAlignment="1">
      <alignment horizontal="center" vertical="center" wrapText="1"/>
    </xf>
    <xf numFmtId="0" fontId="27" fillId="9" borderId="0" xfId="0" applyFont="1" applyFill="1"/>
    <xf numFmtId="0" fontId="28" fillId="5" borderId="0" xfId="0" applyFont="1" applyFill="1"/>
    <xf numFmtId="0" fontId="6" fillId="15" borderId="0" xfId="0" applyFont="1" applyFill="1" applyAlignment="1">
      <alignment horizontal="left" vertical="center"/>
    </xf>
    <xf numFmtId="9" fontId="25" fillId="15" borderId="0" xfId="0" applyNumberFormat="1" applyFont="1" applyFill="1" applyAlignment="1">
      <alignment horizontal="center" vertical="center"/>
    </xf>
    <xf numFmtId="0" fontId="6" fillId="14" borderId="0" xfId="0" applyFont="1" applyFill="1" applyAlignment="1">
      <alignment horizontal="left" vertical="center"/>
    </xf>
    <xf numFmtId="9" fontId="25" fillId="14" borderId="0" xfId="0" applyNumberFormat="1" applyFont="1" applyFill="1" applyAlignment="1">
      <alignment horizontal="center" vertical="center"/>
    </xf>
    <xf numFmtId="0" fontId="6" fillId="10" borderId="0" xfId="0" applyFont="1" applyFill="1" applyAlignment="1">
      <alignment horizontal="left" vertical="center"/>
    </xf>
    <xf numFmtId="9" fontId="25" fillId="10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/>
    </xf>
    <xf numFmtId="9" fontId="25" fillId="5" borderId="0" xfId="0" applyNumberFormat="1" applyFont="1" applyFill="1" applyAlignment="1">
      <alignment horizontal="center" vertical="center"/>
    </xf>
    <xf numFmtId="0" fontId="29" fillId="8" borderId="0" xfId="0" applyFont="1" applyFill="1" applyAlignment="1">
      <alignment horizontal="left" vertical="center"/>
    </xf>
    <xf numFmtId="9" fontId="23" fillId="8" borderId="0" xfId="0" applyNumberFormat="1" applyFont="1" applyFill="1" applyAlignment="1">
      <alignment horizontal="center" vertical="center"/>
    </xf>
    <xf numFmtId="0" fontId="29" fillId="16" borderId="0" xfId="0" applyFont="1" applyFill="1" applyAlignment="1">
      <alignment horizontal="left" vertical="center"/>
    </xf>
    <xf numFmtId="9" fontId="23" fillId="16" borderId="0" xfId="0" applyNumberFormat="1" applyFont="1" applyFill="1" applyAlignment="1">
      <alignment horizontal="center" vertical="center"/>
    </xf>
    <xf numFmtId="0" fontId="29" fillId="17" borderId="0" xfId="0" applyFont="1" applyFill="1" applyAlignment="1">
      <alignment horizontal="left" vertical="center"/>
    </xf>
    <xf numFmtId="9" fontId="23" fillId="17" borderId="0" xfId="0" applyNumberFormat="1" applyFont="1" applyFill="1" applyAlignment="1">
      <alignment horizontal="center" vertical="center"/>
    </xf>
    <xf numFmtId="0" fontId="24" fillId="0" borderId="0" xfId="0" applyFont="1" applyAlignment="1">
      <alignment vertical="center"/>
    </xf>
    <xf numFmtId="1" fontId="25" fillId="15" borderId="50" xfId="0" applyNumberFormat="1" applyFont="1" applyFill="1" applyBorder="1" applyAlignment="1">
      <alignment horizontal="center" vertical="center"/>
    </xf>
    <xf numFmtId="1" fontId="25" fillId="15" borderId="51" xfId="0" applyNumberFormat="1" applyFont="1" applyFill="1" applyBorder="1" applyAlignment="1">
      <alignment horizontal="center" vertical="center"/>
    </xf>
    <xf numFmtId="1" fontId="25" fillId="14" borderId="50" xfId="0" applyNumberFormat="1" applyFont="1" applyFill="1" applyBorder="1" applyAlignment="1">
      <alignment horizontal="center" vertical="center"/>
    </xf>
    <xf numFmtId="1" fontId="25" fillId="14" borderId="51" xfId="0" applyNumberFormat="1" applyFont="1" applyFill="1" applyBorder="1" applyAlignment="1">
      <alignment horizontal="center" vertical="center"/>
    </xf>
    <xf numFmtId="1" fontId="25" fillId="10" borderId="50" xfId="0" applyNumberFormat="1" applyFont="1" applyFill="1" applyBorder="1" applyAlignment="1">
      <alignment horizontal="center" vertical="center"/>
    </xf>
    <xf numFmtId="1" fontId="25" fillId="10" borderId="51" xfId="0" applyNumberFormat="1" applyFont="1" applyFill="1" applyBorder="1" applyAlignment="1">
      <alignment horizontal="center" vertical="center"/>
    </xf>
    <xf numFmtId="1" fontId="25" fillId="5" borderId="50" xfId="0" applyNumberFormat="1" applyFont="1" applyFill="1" applyBorder="1" applyAlignment="1">
      <alignment horizontal="center" vertical="center"/>
    </xf>
    <xf numFmtId="1" fontId="25" fillId="5" borderId="51" xfId="0" applyNumberFormat="1" applyFont="1" applyFill="1" applyBorder="1" applyAlignment="1">
      <alignment horizontal="center" vertical="center"/>
    </xf>
    <xf numFmtId="1" fontId="23" fillId="8" borderId="50" xfId="0" applyNumberFormat="1" applyFont="1" applyFill="1" applyBorder="1" applyAlignment="1">
      <alignment horizontal="center" vertical="center"/>
    </xf>
    <xf numFmtId="1" fontId="23" fillId="8" borderId="51" xfId="0" applyNumberFormat="1" applyFont="1" applyFill="1" applyBorder="1" applyAlignment="1">
      <alignment horizontal="center" vertical="center"/>
    </xf>
    <xf numFmtId="1" fontId="23" fillId="16" borderId="50" xfId="0" applyNumberFormat="1" applyFont="1" applyFill="1" applyBorder="1" applyAlignment="1">
      <alignment horizontal="center" vertical="center"/>
    </xf>
    <xf numFmtId="1" fontId="23" fillId="16" borderId="51" xfId="0" applyNumberFormat="1" applyFont="1" applyFill="1" applyBorder="1" applyAlignment="1">
      <alignment horizontal="center" vertical="center"/>
    </xf>
    <xf numFmtId="1" fontId="23" fillId="17" borderId="50" xfId="0" applyNumberFormat="1" applyFont="1" applyFill="1" applyBorder="1" applyAlignment="1">
      <alignment horizontal="center" vertical="center"/>
    </xf>
    <xf numFmtId="1" fontId="23" fillId="17" borderId="51" xfId="0" applyNumberFormat="1" applyFont="1" applyFill="1" applyBorder="1" applyAlignment="1">
      <alignment horizontal="center" vertical="center"/>
    </xf>
    <xf numFmtId="0" fontId="9" fillId="9" borderId="0" xfId="0" applyFont="1" applyFill="1"/>
    <xf numFmtId="0" fontId="8" fillId="0" borderId="2" xfId="0" applyFont="1" applyBorder="1" applyAlignment="1">
      <alignment horizontal="center" vertical="center" wrapText="1"/>
    </xf>
    <xf numFmtId="9" fontId="15" fillId="0" borderId="9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9" fontId="15" fillId="0" borderId="10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9" fontId="15" fillId="0" borderId="11" xfId="0" applyNumberFormat="1" applyFont="1" applyBorder="1" applyAlignment="1">
      <alignment horizontal="center" vertical="center" wrapText="1"/>
    </xf>
    <xf numFmtId="0" fontId="25" fillId="0" borderId="0" xfId="0" applyFont="1" applyBorder="1"/>
    <xf numFmtId="9" fontId="0" fillId="0" borderId="47" xfId="0" applyNumberFormat="1" applyBorder="1"/>
    <xf numFmtId="0" fontId="15" fillId="13" borderId="21" xfId="0" applyFont="1" applyFill="1" applyBorder="1" applyAlignment="1">
      <alignment horizontal="center" vertical="center"/>
    </xf>
    <xf numFmtId="0" fontId="15" fillId="13" borderId="22" xfId="0" applyFont="1" applyFill="1" applyBorder="1" applyAlignment="1">
      <alignment horizontal="center" vertical="center" wrapText="1"/>
    </xf>
    <xf numFmtId="0" fontId="15" fillId="13" borderId="17" xfId="0" applyFont="1" applyFill="1" applyBorder="1" applyAlignment="1">
      <alignment horizontal="center" vertical="center" wrapText="1"/>
    </xf>
    <xf numFmtId="0" fontId="15" fillId="13" borderId="18" xfId="0" applyFont="1" applyFill="1" applyBorder="1" applyAlignment="1">
      <alignment horizontal="center" vertical="center" wrapText="1"/>
    </xf>
    <xf numFmtId="0" fontId="13" fillId="5" borderId="0" xfId="0" applyFont="1" applyFill="1"/>
    <xf numFmtId="1" fontId="13" fillId="5" borderId="0" xfId="0" applyNumberFormat="1" applyFont="1" applyFill="1" applyAlignment="1">
      <alignment vertical="center"/>
    </xf>
    <xf numFmtId="0" fontId="13" fillId="5" borderId="0" xfId="0" applyFont="1" applyFill="1" applyAlignment="1">
      <alignment vertical="center"/>
    </xf>
    <xf numFmtId="0" fontId="31" fillId="9" borderId="0" xfId="0" applyFont="1" applyFill="1"/>
    <xf numFmtId="0" fontId="0" fillId="0" borderId="54" xfId="0" applyBorder="1"/>
    <xf numFmtId="0" fontId="0" fillId="0" borderId="4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11" fillId="0" borderId="36" xfId="0" applyFont="1" applyBorder="1" applyAlignment="1">
      <alignment horizontal="center" vertical="center" wrapText="1"/>
    </xf>
    <xf numFmtId="1" fontId="11" fillId="0" borderId="35" xfId="0" applyNumberFormat="1" applyFont="1" applyBorder="1" applyAlignment="1">
      <alignment horizontal="center" vertical="center" wrapText="1"/>
    </xf>
    <xf numFmtId="1" fontId="11" fillId="0" borderId="38" xfId="0" applyNumberFormat="1" applyFont="1" applyBorder="1" applyAlignment="1">
      <alignment horizontal="center" vertical="center" wrapText="1"/>
    </xf>
    <xf numFmtId="1" fontId="11" fillId="0" borderId="41" xfId="0" applyNumberFormat="1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1" fontId="11" fillId="0" borderId="58" xfId="0" applyNumberFormat="1" applyFont="1" applyBorder="1" applyAlignment="1">
      <alignment horizontal="center" vertical="center" wrapText="1"/>
    </xf>
    <xf numFmtId="0" fontId="11" fillId="0" borderId="49" xfId="0" applyFont="1" applyBorder="1" applyAlignment="1">
      <alignment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32" fillId="0" borderId="0" xfId="0" applyFont="1" applyAlignment="1">
      <alignment vertical="top"/>
    </xf>
    <xf numFmtId="0" fontId="32" fillId="0" borderId="0" xfId="0" applyFont="1" applyAlignment="1">
      <alignment horizontal="center" vertical="top"/>
    </xf>
    <xf numFmtId="0" fontId="11" fillId="0" borderId="45" xfId="0" applyFont="1" applyBorder="1" applyAlignment="1">
      <alignment horizontal="center" wrapText="1"/>
    </xf>
    <xf numFmtId="0" fontId="11" fillId="0" borderId="61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63" xfId="0" applyFont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9" fontId="0" fillId="0" borderId="29" xfId="0" applyNumberFormat="1" applyBorder="1"/>
    <xf numFmtId="2" fontId="11" fillId="0" borderId="35" xfId="0" applyNumberFormat="1" applyFont="1" applyBorder="1" applyAlignment="1">
      <alignment horizontal="center" vertical="center" wrapText="1"/>
    </xf>
    <xf numFmtId="2" fontId="11" fillId="0" borderId="38" xfId="0" applyNumberFormat="1" applyFont="1" applyBorder="1" applyAlignment="1">
      <alignment horizontal="center" vertical="center" wrapText="1"/>
    </xf>
    <xf numFmtId="2" fontId="11" fillId="0" borderId="41" xfId="0" applyNumberFormat="1" applyFont="1" applyBorder="1" applyAlignment="1">
      <alignment horizontal="center" vertical="center" wrapText="1"/>
    </xf>
    <xf numFmtId="2" fontId="11" fillId="0" borderId="58" xfId="0" applyNumberFormat="1" applyFont="1" applyBorder="1" applyAlignment="1">
      <alignment horizontal="center" vertical="center" wrapText="1"/>
    </xf>
    <xf numFmtId="2" fontId="11" fillId="0" borderId="38" xfId="0" applyNumberFormat="1" applyFont="1" applyFill="1" applyBorder="1" applyAlignment="1">
      <alignment horizontal="center" vertical="center" wrapText="1"/>
    </xf>
    <xf numFmtId="2" fontId="11" fillId="0" borderId="41" xfId="0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4" fillId="0" borderId="0" xfId="0" applyFont="1"/>
    <xf numFmtId="0" fontId="0" fillId="7" borderId="0" xfId="0" applyFill="1"/>
    <xf numFmtId="0" fontId="0" fillId="18" borderId="0" xfId="0" applyFill="1"/>
    <xf numFmtId="0" fontId="18" fillId="18" borderId="0" xfId="0" applyFont="1" applyFill="1"/>
    <xf numFmtId="0" fontId="31" fillId="18" borderId="0" xfId="0" applyFont="1" applyFill="1"/>
    <xf numFmtId="0" fontId="2" fillId="0" borderId="65" xfId="0" applyFont="1" applyBorder="1"/>
    <xf numFmtId="0" fontId="10" fillId="7" borderId="0" xfId="0" applyFont="1" applyFill="1" applyBorder="1"/>
    <xf numFmtId="0" fontId="2" fillId="7" borderId="0" xfId="0" applyFont="1" applyFill="1" applyBorder="1"/>
    <xf numFmtId="1" fontId="2" fillId="0" borderId="47" xfId="0" applyNumberFormat="1" applyFont="1" applyBorder="1"/>
    <xf numFmtId="2" fontId="10" fillId="0" borderId="48" xfId="0" applyNumberFormat="1" applyFont="1" applyBorder="1"/>
    <xf numFmtId="9" fontId="10" fillId="0" borderId="49" xfId="0" applyNumberFormat="1" applyFont="1" applyBorder="1"/>
    <xf numFmtId="0" fontId="37" fillId="7" borderId="0" xfId="0" applyFont="1" applyFill="1" applyBorder="1"/>
    <xf numFmtId="0" fontId="0" fillId="0" borderId="47" xfId="0" applyBorder="1"/>
    <xf numFmtId="0" fontId="0" fillId="0" borderId="48" xfId="0" applyBorder="1"/>
    <xf numFmtId="0" fontId="4" fillId="0" borderId="21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45" xfId="0" applyFont="1" applyBorder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1" fontId="2" fillId="0" borderId="39" xfId="0" applyNumberFormat="1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1" fontId="2" fillId="0" borderId="42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0" fontId="10" fillId="0" borderId="46" xfId="0" applyFont="1" applyBorder="1" applyAlignment="1">
      <alignment horizontal="center" vertical="center"/>
    </xf>
    <xf numFmtId="0" fontId="4" fillId="3" borderId="21" xfId="0" applyFont="1" applyFill="1" applyBorder="1" applyAlignment="1">
      <alignment vertical="center"/>
    </xf>
    <xf numFmtId="0" fontId="0" fillId="5" borderId="0" xfId="0" applyFill="1" applyAlignment="1">
      <alignment horizontal="center"/>
    </xf>
    <xf numFmtId="0" fontId="36" fillId="5" borderId="0" xfId="0" applyFont="1" applyFill="1" applyAlignment="1">
      <alignment horizontal="center" vertical="center"/>
    </xf>
    <xf numFmtId="0" fontId="9" fillId="18" borderId="0" xfId="0" applyFont="1" applyFill="1"/>
    <xf numFmtId="0" fontId="18" fillId="18" borderId="0" xfId="0" applyFont="1" applyFill="1" applyAlignment="1">
      <alignment horizontal="center"/>
    </xf>
    <xf numFmtId="0" fontId="2" fillId="12" borderId="21" xfId="0" applyFont="1" applyFill="1" applyBorder="1" applyAlignment="1">
      <alignment horizontal="right" vertical="center"/>
    </xf>
    <xf numFmtId="0" fontId="0" fillId="7" borderId="0" xfId="0" applyFill="1" applyAlignment="1">
      <alignment horizontal="center" vertical="center"/>
    </xf>
    <xf numFmtId="0" fontId="2" fillId="0" borderId="21" xfId="0" applyFont="1" applyBorder="1" applyAlignment="1">
      <alignment horizontal="left" vertical="center"/>
    </xf>
    <xf numFmtId="0" fontId="2" fillId="7" borderId="21" xfId="0" applyFont="1" applyFill="1" applyBorder="1" applyAlignment="1">
      <alignment horizontal="left" vertical="center"/>
    </xf>
    <xf numFmtId="0" fontId="2" fillId="0" borderId="65" xfId="0" applyFont="1" applyBorder="1" applyAlignment="1">
      <alignment horizontal="left" vertical="center"/>
    </xf>
    <xf numFmtId="0" fontId="37" fillId="3" borderId="21" xfId="0" applyFont="1" applyFill="1" applyBorder="1" applyAlignment="1">
      <alignment horizontal="left" vertical="center"/>
    </xf>
    <xf numFmtId="0" fontId="2" fillId="7" borderId="21" xfId="0" applyFont="1" applyFill="1" applyBorder="1" applyAlignment="1">
      <alignment vertical="center"/>
    </xf>
    <xf numFmtId="0" fontId="2" fillId="7" borderId="21" xfId="0" applyFont="1" applyFill="1" applyBorder="1" applyAlignment="1">
      <alignment vertical="center" wrapText="1"/>
    </xf>
    <xf numFmtId="0" fontId="2" fillId="7" borderId="47" xfId="0" applyFont="1" applyFill="1" applyBorder="1" applyAlignment="1">
      <alignment horizontal="center" vertical="center"/>
    </xf>
    <xf numFmtId="0" fontId="2" fillId="7" borderId="48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38" fillId="3" borderId="21" xfId="0" applyFont="1" applyFill="1" applyBorder="1" applyAlignment="1">
      <alignment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2" fillId="7" borderId="31" xfId="0" applyFont="1" applyFill="1" applyBorder="1"/>
    <xf numFmtId="0" fontId="2" fillId="7" borderId="13" xfId="0" applyFont="1" applyFill="1" applyBorder="1"/>
    <xf numFmtId="0" fontId="0" fillId="0" borderId="25" xfId="0" applyBorder="1"/>
    <xf numFmtId="0" fontId="0" fillId="0" borderId="29" xfId="0" applyBorder="1"/>
    <xf numFmtId="0" fontId="2" fillId="7" borderId="47" xfId="0" applyFont="1" applyFill="1" applyBorder="1" applyAlignment="1">
      <alignment horizontal="center"/>
    </xf>
    <xf numFmtId="164" fontId="2" fillId="7" borderId="48" xfId="0" applyNumberFormat="1" applyFont="1" applyFill="1" applyBorder="1" applyAlignment="1">
      <alignment horizontal="center"/>
    </xf>
    <xf numFmtId="1" fontId="2" fillId="7" borderId="48" xfId="0" applyNumberFormat="1" applyFont="1" applyFill="1" applyBorder="1" applyAlignment="1">
      <alignment horizontal="center"/>
    </xf>
    <xf numFmtId="164" fontId="2" fillId="4" borderId="49" xfId="0" applyNumberFormat="1" applyFont="1" applyFill="1" applyBorder="1" applyAlignment="1">
      <alignment horizontal="center" vertical="center"/>
    </xf>
    <xf numFmtId="0" fontId="38" fillId="3" borderId="54" xfId="0" applyFont="1" applyFill="1" applyBorder="1"/>
    <xf numFmtId="0" fontId="2" fillId="0" borderId="47" xfId="0" applyFont="1" applyBorder="1" applyAlignment="1">
      <alignment horizontal="center" vertical="center"/>
    </xf>
    <xf numFmtId="0" fontId="2" fillId="19" borderId="47" xfId="0" applyFont="1" applyFill="1" applyBorder="1" applyAlignment="1">
      <alignment horizontal="center"/>
    </xf>
    <xf numFmtId="9" fontId="2" fillId="7" borderId="48" xfId="0" applyNumberFormat="1" applyFont="1" applyFill="1" applyBorder="1" applyAlignment="1">
      <alignment horizontal="center"/>
    </xf>
    <xf numFmtId="1" fontId="2" fillId="7" borderId="49" xfId="0" applyNumberFormat="1" applyFont="1" applyFill="1" applyBorder="1" applyAlignment="1">
      <alignment horizontal="center"/>
    </xf>
    <xf numFmtId="0" fontId="38" fillId="3" borderId="54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2" fillId="7" borderId="21" xfId="0" applyFont="1" applyFill="1" applyBorder="1"/>
    <xf numFmtId="0" fontId="2" fillId="7" borderId="34" xfId="0" applyFont="1" applyFill="1" applyBorder="1" applyAlignment="1">
      <alignment horizontal="center"/>
    </xf>
    <xf numFmtId="1" fontId="2" fillId="7" borderId="36" xfId="0" applyNumberFormat="1" applyFont="1" applyFill="1" applyBorder="1" applyAlignment="1">
      <alignment horizontal="center"/>
    </xf>
    <xf numFmtId="0" fontId="2" fillId="7" borderId="37" xfId="0" applyFont="1" applyFill="1" applyBorder="1" applyAlignment="1">
      <alignment horizontal="center"/>
    </xf>
    <xf numFmtId="1" fontId="2" fillId="7" borderId="39" xfId="0" applyNumberFormat="1" applyFont="1" applyFill="1" applyBorder="1" applyAlignment="1">
      <alignment horizontal="center"/>
    </xf>
    <xf numFmtId="0" fontId="2" fillId="7" borderId="40" xfId="0" applyFont="1" applyFill="1" applyBorder="1" applyAlignment="1">
      <alignment horizontal="center"/>
    </xf>
    <xf numFmtId="0" fontId="2" fillId="7" borderId="21" xfId="0" applyFont="1" applyFill="1" applyBorder="1" applyAlignment="1">
      <alignment horizontal="center" vertical="center"/>
    </xf>
    <xf numFmtId="0" fontId="8" fillId="7" borderId="32" xfId="0" applyFont="1" applyFill="1" applyBorder="1" applyAlignment="1">
      <alignment horizontal="center" vertical="center" wrapText="1"/>
    </xf>
    <xf numFmtId="0" fontId="8" fillId="7" borderId="66" xfId="0" applyFont="1" applyFill="1" applyBorder="1" applyAlignment="1">
      <alignment horizontal="center" vertical="center" wrapText="1"/>
    </xf>
    <xf numFmtId="0" fontId="8" fillId="7" borderId="34" xfId="0" applyFont="1" applyFill="1" applyBorder="1" applyAlignment="1">
      <alignment horizontal="center" vertical="center" wrapText="1"/>
    </xf>
    <xf numFmtId="0" fontId="8" fillId="7" borderId="69" xfId="0" applyFont="1" applyFill="1" applyBorder="1" applyAlignment="1">
      <alignment horizontal="center" vertical="center" wrapText="1"/>
    </xf>
    <xf numFmtId="0" fontId="8" fillId="7" borderId="37" xfId="0" applyFont="1" applyFill="1" applyBorder="1" applyAlignment="1">
      <alignment horizontal="center" vertical="center" wrapText="1"/>
    </xf>
    <xf numFmtId="0" fontId="8" fillId="7" borderId="70" xfId="0" applyFont="1" applyFill="1" applyBorder="1" applyAlignment="1">
      <alignment horizontal="center" vertical="center" wrapText="1"/>
    </xf>
    <xf numFmtId="0" fontId="8" fillId="7" borderId="71" xfId="0" applyFont="1" applyFill="1" applyBorder="1" applyAlignment="1">
      <alignment horizontal="center" vertical="center" wrapText="1"/>
    </xf>
    <xf numFmtId="0" fontId="8" fillId="7" borderId="72" xfId="0" applyFont="1" applyFill="1" applyBorder="1" applyAlignment="1">
      <alignment horizontal="center" vertical="center" wrapText="1"/>
    </xf>
    <xf numFmtId="0" fontId="39" fillId="3" borderId="33" xfId="0" applyFont="1" applyFill="1" applyBorder="1" applyAlignment="1">
      <alignment horizontal="center" vertical="center" wrapText="1"/>
    </xf>
    <xf numFmtId="0" fontId="39" fillId="3" borderId="29" xfId="0" applyFont="1" applyFill="1" applyBorder="1" applyAlignment="1">
      <alignment horizontal="center" vertical="center" wrapText="1"/>
    </xf>
    <xf numFmtId="0" fontId="39" fillId="3" borderId="65" xfId="0" applyFont="1" applyFill="1" applyBorder="1" applyAlignment="1">
      <alignment horizontal="center" vertical="center" wrapText="1"/>
    </xf>
    <xf numFmtId="0" fontId="38" fillId="3" borderId="21" xfId="0" applyFont="1" applyFill="1" applyBorder="1" applyAlignment="1">
      <alignment wrapText="1"/>
    </xf>
    <xf numFmtId="0" fontId="4" fillId="3" borderId="21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9" fillId="18" borderId="0" xfId="0" applyFont="1" applyFill="1" applyAlignment="1">
      <alignment vertical="center"/>
    </xf>
    <xf numFmtId="0" fontId="12" fillId="18" borderId="0" xfId="0" applyFont="1" applyFill="1" applyAlignment="1">
      <alignment vertical="center"/>
    </xf>
    <xf numFmtId="0" fontId="19" fillId="18" borderId="0" xfId="0" applyFont="1" applyFill="1" applyAlignment="1">
      <alignment vertical="center"/>
    </xf>
    <xf numFmtId="0" fontId="8" fillId="0" borderId="45" xfId="0" applyFont="1" applyBorder="1" applyAlignment="1">
      <alignment horizontal="center" vertical="center"/>
    </xf>
    <xf numFmtId="1" fontId="8" fillId="0" borderId="35" xfId="0" applyNumberFormat="1" applyFont="1" applyBorder="1" applyAlignment="1">
      <alignment horizontal="center" vertical="center"/>
    </xf>
    <xf numFmtId="1" fontId="8" fillId="0" borderId="36" xfId="0" applyNumberFormat="1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1" fontId="8" fillId="0" borderId="38" xfId="0" applyNumberFormat="1" applyFont="1" applyBorder="1" applyAlignment="1">
      <alignment horizontal="center" vertical="center"/>
    </xf>
    <xf numFmtId="1" fontId="8" fillId="0" borderId="39" xfId="0" applyNumberFormat="1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1" fontId="8" fillId="0" borderId="41" xfId="0" applyNumberFormat="1" applyFont="1" applyBorder="1" applyAlignment="1">
      <alignment horizontal="center" vertical="center"/>
    </xf>
    <xf numFmtId="1" fontId="8" fillId="0" borderId="42" xfId="0" applyNumberFormat="1" applyFont="1" applyBorder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13" fillId="7" borderId="0" xfId="0" applyFont="1" applyFill="1" applyAlignment="1">
      <alignment horizontal="center" vertical="center"/>
    </xf>
    <xf numFmtId="9" fontId="13" fillId="7" borderId="37" xfId="0" applyNumberFormat="1" applyFont="1" applyFill="1" applyBorder="1" applyAlignment="1">
      <alignment horizontal="center" vertical="center"/>
    </xf>
    <xf numFmtId="9" fontId="13" fillId="7" borderId="38" xfId="0" applyNumberFormat="1" applyFont="1" applyFill="1" applyBorder="1" applyAlignment="1">
      <alignment horizontal="center" vertical="center"/>
    </xf>
    <xf numFmtId="9" fontId="13" fillId="7" borderId="39" xfId="0" applyNumberFormat="1" applyFont="1" applyFill="1" applyBorder="1" applyAlignment="1">
      <alignment horizontal="center" vertical="center"/>
    </xf>
    <xf numFmtId="0" fontId="13" fillId="7" borderId="37" xfId="0" applyFont="1" applyFill="1" applyBorder="1" applyAlignment="1">
      <alignment horizontal="center" vertical="center"/>
    </xf>
    <xf numFmtId="0" fontId="13" fillId="7" borderId="38" xfId="0" applyFont="1" applyFill="1" applyBorder="1" applyAlignment="1">
      <alignment horizontal="center" vertical="center"/>
    </xf>
    <xf numFmtId="0" fontId="13" fillId="7" borderId="39" xfId="0" applyFont="1" applyFill="1" applyBorder="1" applyAlignment="1">
      <alignment horizontal="center" vertical="center"/>
    </xf>
    <xf numFmtId="164" fontId="13" fillId="7" borderId="37" xfId="0" applyNumberFormat="1" applyFont="1" applyFill="1" applyBorder="1" applyAlignment="1">
      <alignment horizontal="center" vertical="center"/>
    </xf>
    <xf numFmtId="164" fontId="13" fillId="7" borderId="38" xfId="0" applyNumberFormat="1" applyFont="1" applyFill="1" applyBorder="1" applyAlignment="1">
      <alignment horizontal="center" vertical="center"/>
    </xf>
    <xf numFmtId="164" fontId="13" fillId="7" borderId="39" xfId="0" applyNumberFormat="1" applyFont="1" applyFill="1" applyBorder="1" applyAlignment="1">
      <alignment horizontal="center" vertical="center"/>
    </xf>
    <xf numFmtId="1" fontId="13" fillId="7" borderId="40" xfId="0" applyNumberFormat="1" applyFont="1" applyFill="1" applyBorder="1" applyAlignment="1">
      <alignment horizontal="center" vertical="center"/>
    </xf>
    <xf numFmtId="1" fontId="13" fillId="7" borderId="41" xfId="0" applyNumberFormat="1" applyFont="1" applyFill="1" applyBorder="1" applyAlignment="1">
      <alignment horizontal="center" vertical="center"/>
    </xf>
    <xf numFmtId="1" fontId="13" fillId="7" borderId="42" xfId="0" applyNumberFormat="1" applyFont="1" applyFill="1" applyBorder="1" applyAlignment="1">
      <alignment horizontal="center" vertical="center"/>
    </xf>
    <xf numFmtId="1" fontId="8" fillId="20" borderId="73" xfId="0" applyNumberFormat="1" applyFont="1" applyFill="1" applyBorder="1" applyAlignment="1">
      <alignment horizontal="center" vertical="center"/>
    </xf>
    <xf numFmtId="1" fontId="8" fillId="20" borderId="74" xfId="0" applyNumberFormat="1" applyFont="1" applyFill="1" applyBorder="1" applyAlignment="1">
      <alignment horizontal="center" vertical="center"/>
    </xf>
    <xf numFmtId="1" fontId="8" fillId="20" borderId="75" xfId="0" applyNumberFormat="1" applyFont="1" applyFill="1" applyBorder="1" applyAlignment="1">
      <alignment horizontal="center" vertical="center"/>
    </xf>
    <xf numFmtId="1" fontId="8" fillId="20" borderId="76" xfId="0" applyNumberFormat="1" applyFont="1" applyFill="1" applyBorder="1" applyAlignment="1">
      <alignment horizontal="center" vertical="center"/>
    </xf>
    <xf numFmtId="1" fontId="8" fillId="20" borderId="58" xfId="0" applyNumberFormat="1" applyFont="1" applyFill="1" applyBorder="1" applyAlignment="1">
      <alignment horizontal="center" vertical="center"/>
    </xf>
    <xf numFmtId="1" fontId="8" fillId="20" borderId="77" xfId="0" applyNumberFormat="1" applyFont="1" applyFill="1" applyBorder="1" applyAlignment="1">
      <alignment horizontal="center" vertical="center"/>
    </xf>
    <xf numFmtId="0" fontId="15" fillId="6" borderId="24" xfId="0" applyFont="1" applyFill="1" applyBorder="1" applyAlignment="1">
      <alignment horizontal="center" vertical="center" wrapText="1"/>
    </xf>
    <xf numFmtId="0" fontId="15" fillId="6" borderId="29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/>
    </xf>
    <xf numFmtId="1" fontId="8" fillId="20" borderId="78" xfId="0" applyNumberFormat="1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13" fillId="7" borderId="67" xfId="0" applyFont="1" applyFill="1" applyBorder="1" applyAlignment="1">
      <alignment horizontal="center" vertical="center"/>
    </xf>
    <xf numFmtId="0" fontId="13" fillId="7" borderId="24" xfId="0" applyFont="1" applyFill="1" applyBorder="1" applyAlignment="1">
      <alignment horizontal="center" vertical="center"/>
    </xf>
    <xf numFmtId="9" fontId="13" fillId="7" borderId="78" xfId="0" applyNumberFormat="1" applyFont="1" applyFill="1" applyBorder="1" applyAlignment="1">
      <alignment horizontal="center" vertical="center"/>
    </xf>
    <xf numFmtId="0" fontId="13" fillId="7" borderId="78" xfId="0" applyFont="1" applyFill="1" applyBorder="1" applyAlignment="1">
      <alignment horizontal="center" vertical="center"/>
    </xf>
    <xf numFmtId="164" fontId="13" fillId="7" borderId="78" xfId="0" applyNumberFormat="1" applyFont="1" applyFill="1" applyBorder="1" applyAlignment="1">
      <alignment horizontal="center" vertical="center"/>
    </xf>
    <xf numFmtId="1" fontId="15" fillId="20" borderId="37" xfId="0" applyNumberFormat="1" applyFont="1" applyFill="1" applyBorder="1" applyAlignment="1">
      <alignment horizontal="center" vertical="center"/>
    </xf>
    <xf numFmtId="1" fontId="15" fillId="20" borderId="78" xfId="0" applyNumberFormat="1" applyFont="1" applyFill="1" applyBorder="1" applyAlignment="1">
      <alignment horizontal="center" vertical="center"/>
    </xf>
    <xf numFmtId="1" fontId="15" fillId="20" borderId="38" xfId="0" applyNumberFormat="1" applyFont="1" applyFill="1" applyBorder="1" applyAlignment="1">
      <alignment horizontal="center" vertical="center"/>
    </xf>
    <xf numFmtId="1" fontId="15" fillId="20" borderId="39" xfId="0" applyNumberFormat="1" applyFont="1" applyFill="1" applyBorder="1" applyAlignment="1">
      <alignment horizontal="center" vertical="center"/>
    </xf>
    <xf numFmtId="1" fontId="13" fillId="7" borderId="78" xfId="0" applyNumberFormat="1" applyFont="1" applyFill="1" applyBorder="1" applyAlignment="1">
      <alignment horizontal="center" vertical="center"/>
    </xf>
    <xf numFmtId="0" fontId="20" fillId="3" borderId="54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9" fillId="18" borderId="0" xfId="0" applyFont="1" applyFill="1" applyAlignment="1">
      <alignment horizontal="center"/>
    </xf>
    <xf numFmtId="0" fontId="2" fillId="19" borderId="21" xfId="0" applyFont="1" applyFill="1" applyBorder="1" applyAlignment="1">
      <alignment horizontal="center" vertical="center"/>
    </xf>
    <xf numFmtId="0" fontId="2" fillId="20" borderId="21" xfId="0" applyFont="1" applyFill="1" applyBorder="1" applyAlignment="1">
      <alignment horizontal="center" vertical="center"/>
    </xf>
    <xf numFmtId="0" fontId="2" fillId="19" borderId="48" xfId="0" applyFont="1" applyFill="1" applyBorder="1" applyAlignment="1">
      <alignment horizontal="center" vertical="center"/>
    </xf>
    <xf numFmtId="0" fontId="2" fillId="20" borderId="48" xfId="0" applyFont="1" applyFill="1" applyBorder="1" applyAlignment="1">
      <alignment horizontal="center" vertical="center"/>
    </xf>
    <xf numFmtId="0" fontId="2" fillId="20" borderId="49" xfId="0" applyFont="1" applyFill="1" applyBorder="1" applyAlignment="1">
      <alignment horizontal="center" vertical="center"/>
    </xf>
    <xf numFmtId="0" fontId="2" fillId="19" borderId="49" xfId="0" applyFont="1" applyFill="1" applyBorder="1" applyAlignment="1">
      <alignment horizontal="center" vertical="center"/>
    </xf>
    <xf numFmtId="0" fontId="2" fillId="20" borderId="47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" fontId="2" fillId="4" borderId="42" xfId="0" applyNumberFormat="1" applyFont="1" applyFill="1" applyBorder="1" applyAlignment="1">
      <alignment horizontal="center"/>
    </xf>
    <xf numFmtId="0" fontId="0" fillId="3" borderId="2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15" fillId="3" borderId="54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36" fillId="5" borderId="0" xfId="0" applyFont="1" applyFill="1"/>
    <xf numFmtId="0" fontId="36" fillId="5" borderId="0" xfId="0" applyFont="1" applyFill="1" applyAlignment="1">
      <alignment vertical="center"/>
    </xf>
    <xf numFmtId="164" fontId="0" fillId="0" borderId="49" xfId="0" applyNumberFormat="1" applyBorder="1"/>
    <xf numFmtId="1" fontId="11" fillId="0" borderId="79" xfId="0" applyNumberFormat="1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/>
    </xf>
    <xf numFmtId="1" fontId="26" fillId="0" borderId="35" xfId="0" applyNumberFormat="1" applyFont="1" applyBorder="1" applyAlignment="1">
      <alignment horizontal="center" vertical="center" wrapText="1"/>
    </xf>
    <xf numFmtId="2" fontId="26" fillId="0" borderId="35" xfId="0" applyNumberFormat="1" applyFont="1" applyBorder="1" applyAlignment="1">
      <alignment horizontal="center" vertical="center"/>
    </xf>
    <xf numFmtId="0" fontId="26" fillId="0" borderId="36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/>
    </xf>
    <xf numFmtId="1" fontId="26" fillId="0" borderId="80" xfId="0" applyNumberFormat="1" applyFont="1" applyBorder="1" applyAlignment="1">
      <alignment horizontal="center" vertical="center" wrapText="1"/>
    </xf>
    <xf numFmtId="2" fontId="26" fillId="0" borderId="41" xfId="0" applyNumberFormat="1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 wrapText="1"/>
    </xf>
    <xf numFmtId="0" fontId="26" fillId="0" borderId="81" xfId="0" applyFont="1" applyBorder="1" applyAlignment="1">
      <alignment horizontal="center" vertical="center"/>
    </xf>
    <xf numFmtId="0" fontId="26" fillId="0" borderId="82" xfId="0" applyFont="1" applyBorder="1" applyAlignment="1">
      <alignment horizontal="center" vertical="center"/>
    </xf>
    <xf numFmtId="1" fontId="26" fillId="0" borderId="41" xfId="0" applyNumberFormat="1" applyFont="1" applyBorder="1" applyAlignment="1">
      <alignment horizontal="center" vertical="center" wrapText="1"/>
    </xf>
    <xf numFmtId="0" fontId="32" fillId="0" borderId="0" xfId="0" applyFont="1" applyAlignment="1"/>
    <xf numFmtId="0" fontId="32" fillId="12" borderId="83" xfId="0" applyFont="1" applyFill="1" applyBorder="1" applyAlignment="1">
      <alignment horizontal="center" vertical="center" wrapText="1"/>
    </xf>
    <xf numFmtId="0" fontId="32" fillId="12" borderId="8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4" fillId="7" borderId="24" xfId="0" applyFont="1" applyFill="1" applyBorder="1" applyAlignment="1">
      <alignment horizontal="center" vertical="center" textRotation="90"/>
    </xf>
    <xf numFmtId="0" fontId="24" fillId="7" borderId="25" xfId="0" applyFont="1" applyFill="1" applyBorder="1" applyAlignment="1">
      <alignment horizontal="center" vertical="center" textRotation="90"/>
    </xf>
    <xf numFmtId="0" fontId="24" fillId="7" borderId="26" xfId="0" applyFont="1" applyFill="1" applyBorder="1" applyAlignment="1">
      <alignment horizontal="center" vertical="center" textRotation="90"/>
    </xf>
    <xf numFmtId="0" fontId="15" fillId="7" borderId="28" xfId="0" applyFont="1" applyFill="1" applyBorder="1" applyAlignment="1">
      <alignment horizontal="center" vertical="center" wrapText="1"/>
    </xf>
    <xf numFmtId="0" fontId="15" fillId="7" borderId="29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textRotation="45"/>
    </xf>
    <xf numFmtId="0" fontId="4" fillId="0" borderId="25" xfId="0" applyFont="1" applyBorder="1" applyAlignment="1">
      <alignment horizontal="center" vertical="center" textRotation="45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20" fillId="13" borderId="30" xfId="0" applyFont="1" applyFill="1" applyBorder="1" applyAlignment="1">
      <alignment horizontal="center" vertical="center" wrapText="1"/>
    </xf>
    <xf numFmtId="0" fontId="20" fillId="13" borderId="32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1" fontId="8" fillId="0" borderId="7" xfId="0" applyNumberFormat="1" applyFont="1" applyBorder="1" applyAlignment="1">
      <alignment horizontal="left" vertical="center" wrapText="1"/>
    </xf>
    <xf numFmtId="1" fontId="8" fillId="0" borderId="4" xfId="0" applyNumberFormat="1" applyFont="1" applyBorder="1" applyAlignment="1">
      <alignment horizontal="left" vertical="center" wrapText="1"/>
    </xf>
    <xf numFmtId="1" fontId="8" fillId="0" borderId="8" xfId="0" applyNumberFormat="1" applyFont="1" applyBorder="1" applyAlignment="1">
      <alignment horizontal="left" vertical="center" wrapText="1"/>
    </xf>
    <xf numFmtId="1" fontId="8" fillId="0" borderId="6" xfId="0" applyNumberFormat="1" applyFont="1" applyBorder="1" applyAlignment="1">
      <alignment horizontal="left" vertical="center" wrapText="1"/>
    </xf>
    <xf numFmtId="0" fontId="15" fillId="0" borderId="24" xfId="0" applyFont="1" applyBorder="1" applyAlignment="1">
      <alignment horizontal="center" vertical="center" textRotation="45" wrapText="1"/>
    </xf>
    <xf numFmtId="0" fontId="15" fillId="0" borderId="25" xfId="0" applyFont="1" applyBorder="1" applyAlignment="1">
      <alignment horizontal="center" vertical="center" textRotation="45" wrapText="1"/>
    </xf>
    <xf numFmtId="0" fontId="15" fillId="0" borderId="29" xfId="0" applyFont="1" applyBorder="1" applyAlignment="1">
      <alignment horizontal="center" vertical="center" textRotation="45" wrapText="1"/>
    </xf>
    <xf numFmtId="0" fontId="26" fillId="0" borderId="24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1" fontId="8" fillId="0" borderId="52" xfId="0" applyNumberFormat="1" applyFont="1" applyBorder="1" applyAlignment="1">
      <alignment horizontal="left" vertical="center" wrapText="1"/>
    </xf>
    <xf numFmtId="1" fontId="8" fillId="0" borderId="53" xfId="0" applyNumberFormat="1" applyFont="1" applyBorder="1" applyAlignment="1">
      <alignment horizontal="left" vertical="center" wrapText="1"/>
    </xf>
    <xf numFmtId="0" fontId="15" fillId="3" borderId="32" xfId="0" applyFont="1" applyFill="1" applyBorder="1" applyAlignment="1">
      <alignment horizontal="center" vertical="center" wrapText="1"/>
    </xf>
    <xf numFmtId="0" fontId="13" fillId="18" borderId="0" xfId="0" applyFont="1" applyFill="1" applyAlignment="1">
      <alignment vertical="center"/>
    </xf>
    <xf numFmtId="1" fontId="8" fillId="18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35">
    <dxf>
      <font>
        <b/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indent="0" justifyLastLine="0" shrinkToFit="0" readingOrder="0"/>
      <border diagonalUp="0" diagonalDown="0" outline="0">
        <left/>
        <right/>
        <top style="medium">
          <color rgb="FF00B0F0"/>
        </top>
        <bottom style="medium">
          <color rgb="FF00B0F0"/>
        </bottom>
      </border>
    </dxf>
    <dxf>
      <border>
        <top style="medium">
          <color rgb="FF00B0F0"/>
        </top>
      </border>
    </dxf>
    <dxf>
      <border diagonalUp="0" diagonalDown="0">
        <left style="medium">
          <color rgb="FF00B0F0"/>
        </left>
        <right style="medium">
          <color rgb="FF00B0F0"/>
        </right>
        <top style="medium">
          <color rgb="FF00B0F0"/>
        </top>
        <bottom style="medium">
          <color rgb="FF00B0F0"/>
        </bottom>
      </border>
    </dxf>
    <dxf>
      <font>
        <b/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indent="0" justifyLastLine="0" shrinkToFit="0" readingOrder="0"/>
    </dxf>
    <dxf>
      <border>
        <bottom style="medium">
          <color rgb="FF00B0F0"/>
        </bottom>
      </border>
    </dxf>
    <dxf>
      <font>
        <b/>
        <strike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bgColor theme="0"/>
        </patternFill>
      </fill>
      <border diagonalUp="0" diagonalDown="0">
        <left/>
        <right/>
        <top style="medium">
          <color rgb="FF00B0F0"/>
        </top>
        <bottom style="medium">
          <color rgb="FF00B0F0"/>
        </bottom>
        <vertical/>
        <horizontal style="medium">
          <color rgb="FF00B0F0"/>
        </horizontal>
      </border>
    </dxf>
    <dxf>
      <border>
        <top style="medium">
          <color rgb="FF00B0F0"/>
        </top>
      </border>
    </dxf>
    <dxf>
      <border diagonalUp="0" diagonalDown="0">
        <left style="medium">
          <color rgb="FF00B0F0"/>
        </left>
        <right style="medium">
          <color rgb="FF00B0F0"/>
        </right>
        <top style="medium">
          <color rgb="FF00B0F0"/>
        </top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bgColor theme="0"/>
        </patternFill>
      </fill>
    </dxf>
    <dxf>
      <border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fgColor indexed="64"/>
          <bgColor theme="0"/>
        </patternFill>
      </fill>
      <border diagonalUp="0" diagonalDown="0">
        <left/>
        <right/>
        <top style="medium">
          <color rgb="FF00B0F0"/>
        </top>
        <bottom style="medium">
          <color rgb="FF00B0F0"/>
        </bottom>
        <vertical/>
        <horizontal style="medium">
          <color rgb="FF00B0F0"/>
        </horizontal>
      </border>
    </dxf>
    <dxf>
      <border>
        <top style="medium">
          <color rgb="FF00B0F0"/>
        </top>
      </border>
    </dxf>
    <dxf>
      <border diagonalUp="0" diagonalDown="0">
        <left style="medium">
          <color rgb="FF00B0F0"/>
        </left>
        <right style="medium">
          <color rgb="FF00B0F0"/>
        </right>
        <top style="medium">
          <color rgb="FF00B0F0"/>
        </top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fgColor indexed="64"/>
          <bgColor theme="0"/>
        </patternFill>
      </fill>
    </dxf>
    <dxf>
      <border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</dxf>
    <dxf>
      <font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dotted">
          <color rgb="FF00B0F0"/>
        </left>
        <right/>
        <top style="dotted">
          <color rgb="FF00B0F0"/>
        </top>
        <bottom style="dotted">
          <color rgb="FF00B0F0"/>
        </bottom>
        <vertical style="dotted">
          <color rgb="FF00B0F0"/>
        </vertical>
        <horizontal style="dotted">
          <color rgb="FF00B0F0"/>
        </horizontal>
      </border>
    </dxf>
    <dxf>
      <font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00B0F0"/>
        </left>
        <right style="dotted">
          <color rgb="FF00B0F0"/>
        </right>
        <top style="dotted">
          <color rgb="FF00B0F0"/>
        </top>
        <bottom style="dotted">
          <color rgb="FF00B0F0"/>
        </bottom>
        <vertical style="dotted">
          <color rgb="FF00B0F0"/>
        </vertical>
        <horizontal style="dotted">
          <color rgb="FF00B0F0"/>
        </horizontal>
      </border>
    </dxf>
    <dxf>
      <font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rgb="FF00B0F0"/>
        </right>
        <top style="medium">
          <color rgb="FF00B0F0"/>
        </top>
        <bottom style="medium">
          <color rgb="FF00B0F0"/>
        </bottom>
        <vertical style="medium">
          <color rgb="FF00B0F0"/>
        </vertical>
        <horizontal style="medium">
          <color rgb="FF00B0F0"/>
        </horizontal>
      </border>
    </dxf>
    <dxf>
      <border>
        <top style="medium">
          <color rgb="FF00B0F0"/>
        </top>
      </border>
    </dxf>
    <dxf>
      <border diagonalUp="0" diagonalDown="0">
        <left style="medium">
          <color rgb="FF00B0F0"/>
        </left>
        <right style="medium">
          <color rgb="FF00B0F0"/>
        </right>
        <top style="medium">
          <color rgb="FF00B0F0"/>
        </top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>
        <bottom style="medium">
          <color rgb="FF00B0F0"/>
        </bottom>
      </border>
    </dxf>
    <dxf>
      <font>
        <strike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B0F0"/>
        </left>
        <right style="medium">
          <color rgb="FF00B0F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medium">
          <color rgb="FF00B0F0"/>
        </top>
        <bottom style="medium">
          <color rgb="FF00B0F0"/>
        </bottom>
        <vertical/>
        <horizontal style="medium">
          <color rgb="FF00B0F0"/>
        </horizontal>
      </border>
    </dxf>
    <dxf>
      <fill>
        <patternFill>
          <fgColor indexed="64"/>
          <bgColor theme="0"/>
        </patternFill>
      </fill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medium">
          <color rgb="FF00B0F0"/>
        </top>
        <bottom style="medium">
          <color rgb="FF00B0F0"/>
        </bottom>
        <vertical style="medium">
          <color rgb="FF00B0F0"/>
        </vertical>
        <horizontal style="medium">
          <color rgb="FF00B0F0"/>
        </horizontal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rgb="FF00B0F0"/>
        </left>
        <right style="medium">
          <color rgb="FF00B0F0"/>
        </right>
        <top/>
        <bottom/>
      </border>
    </dxf>
  </dxfs>
  <tableStyles count="0" defaultTableStyle="TableStyleMedium2" defaultPivotStyle="PivotStyleLight16"/>
  <colors>
    <mruColors>
      <color rgb="FFFFFF99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Certificação!$C$11</c:f>
              <c:strCache>
                <c:ptCount val="1"/>
                <c:pt idx="0">
                  <c:v>HABITAÇÃO EM AVALIAÇÃO</c:v>
                </c:pt>
              </c:strCache>
            </c:strRef>
          </c:tx>
          <c:invertIfNegative val="0"/>
          <c:cat>
            <c:strRef>
              <c:f>Certificação!$B$12:$B$17</c:f>
              <c:strCache>
                <c:ptCount val="6"/>
                <c:pt idx="0">
                  <c:v>Autoclismos</c:v>
                </c:pt>
                <c:pt idx="1">
                  <c:v>Chuveiros</c:v>
                </c:pt>
                <c:pt idx="2">
                  <c:v>Torneiras de Lavatório</c:v>
                </c:pt>
                <c:pt idx="3">
                  <c:v>Torneiras de Cozinha</c:v>
                </c:pt>
                <c:pt idx="4">
                  <c:v>Máquina de Lavar Loiça</c:v>
                </c:pt>
                <c:pt idx="5">
                  <c:v>Máquina de Lavar Roupa</c:v>
                </c:pt>
              </c:strCache>
            </c:strRef>
          </c:cat>
          <c:val>
            <c:numRef>
              <c:f>Certificação!$C$12:$C$17</c:f>
              <c:numCache>
                <c:formatCode>0</c:formatCode>
                <c:ptCount val="6"/>
                <c:pt idx="0">
                  <c:v>#N/A</c:v>
                </c:pt>
                <c:pt idx="1">
                  <c:v>63.51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</c:ser>
        <c:ser>
          <c:idx val="1"/>
          <c:order val="1"/>
          <c:tx>
            <c:strRef>
              <c:f>Certificação!$D$11</c:f>
              <c:strCache>
                <c:ptCount val="1"/>
                <c:pt idx="0">
                  <c:v>HABITAÇÃO DE REFERÊNCIA</c:v>
                </c:pt>
              </c:strCache>
            </c:strRef>
          </c:tx>
          <c:invertIfNegative val="0"/>
          <c:cat>
            <c:strRef>
              <c:f>Certificação!$B$12:$B$17</c:f>
              <c:strCache>
                <c:ptCount val="6"/>
                <c:pt idx="0">
                  <c:v>Autoclismos</c:v>
                </c:pt>
                <c:pt idx="1">
                  <c:v>Chuveiros</c:v>
                </c:pt>
                <c:pt idx="2">
                  <c:v>Torneiras de Lavatório</c:v>
                </c:pt>
                <c:pt idx="3">
                  <c:v>Torneiras de Cozinha</c:v>
                </c:pt>
                <c:pt idx="4">
                  <c:v>Máquina de Lavar Loiça</c:v>
                </c:pt>
                <c:pt idx="5">
                  <c:v>Máquina de Lavar Roupa</c:v>
                </c:pt>
              </c:strCache>
            </c:strRef>
          </c:cat>
          <c:val>
            <c:numRef>
              <c:f>Certificação!$D$12:$D$17</c:f>
              <c:numCache>
                <c:formatCode>0</c:formatCode>
                <c:ptCount val="6"/>
                <c:pt idx="0">
                  <c:v>118.26</c:v>
                </c:pt>
                <c:pt idx="1">
                  <c:v>158.77500000000001</c:v>
                </c:pt>
                <c:pt idx="2">
                  <c:v>45.99</c:v>
                </c:pt>
                <c:pt idx="3">
                  <c:v>78.84</c:v>
                </c:pt>
                <c:pt idx="4">
                  <c:v>35.477999999999994</c:v>
                </c:pt>
                <c:pt idx="5">
                  <c:v>112.34699999999998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6868736"/>
        <c:axId val="227047040"/>
      </c:barChart>
      <c:catAx>
        <c:axId val="226868736"/>
        <c:scaling>
          <c:orientation val="minMax"/>
        </c:scaling>
        <c:delete val="0"/>
        <c:axPos val="b"/>
        <c:majorTickMark val="none"/>
        <c:minorTickMark val="none"/>
        <c:tickLblPos val="nextTo"/>
        <c:crossAx val="227047040"/>
        <c:crosses val="autoZero"/>
        <c:auto val="1"/>
        <c:lblAlgn val="ctr"/>
        <c:lblOffset val="100"/>
        <c:noMultiLvlLbl val="0"/>
      </c:catAx>
      <c:valAx>
        <c:axId val="227047040"/>
        <c:scaling>
          <c:orientation val="minMax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spPr>
          <a:ln w="9525">
            <a:noFill/>
          </a:ln>
        </c:spPr>
        <c:crossAx val="226868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0020979267064199E-3"/>
          <c:y val="0.88148702879531371"/>
          <c:w val="0.57122868223046142"/>
          <c:h val="0.11132250087236205"/>
        </c:manualLayout>
      </c:layout>
      <c:overlay val="0"/>
      <c:txPr>
        <a:bodyPr/>
        <a:lstStyle/>
        <a:p>
          <a:pPr>
            <a:defRPr sz="900"/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701539</xdr:colOff>
      <xdr:row>1</xdr:row>
      <xdr:rowOff>7620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1539" cy="411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793314</xdr:colOff>
      <xdr:row>1</xdr:row>
      <xdr:rowOff>16461</xdr:rowOff>
    </xdr:to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93314" cy="4653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16237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1520" cy="496297"/>
        </a:xfrm>
        <a:prstGeom prst="rect">
          <a:avLst/>
        </a:prstGeom>
      </xdr:spPr>
    </xdr:pic>
    <xdr:clientData/>
  </xdr:twoCellAnchor>
  <xdr:oneCellAnchor>
    <xdr:from>
      <xdr:col>0</xdr:col>
      <xdr:colOff>411480</xdr:colOff>
      <xdr:row>37</xdr:row>
      <xdr:rowOff>121920</xdr:rowOff>
    </xdr:from>
    <xdr:ext cx="2484119" cy="922020"/>
    <xdr:sp macro="" textlink="">
      <xdr:nvSpPr>
        <xdr:cNvPr id="3" name="CaixaDeTexto 2"/>
        <xdr:cNvSpPr txBox="1"/>
      </xdr:nvSpPr>
      <xdr:spPr>
        <a:xfrm>
          <a:off x="411480" y="9608820"/>
          <a:ext cx="2484119" cy="9220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*</a:t>
          </a:r>
          <a:r>
            <a:rPr lang="pt-PT" sz="900" baseline="0">
              <a:latin typeface="Times New Roman" panose="02020603050405020304" pitchFamily="18" charset="0"/>
              <a:cs typeface="Times New Roman" panose="02020603050405020304" pitchFamily="18" charset="0"/>
            </a:rPr>
            <a:t> Em filtros com manutenção e limpeza</a:t>
          </a:r>
        </a:p>
        <a:p>
          <a:r>
            <a:rPr lang="pt-PT" sz="900" baseline="0">
              <a:latin typeface="Times New Roman" panose="02020603050405020304" pitchFamily="18" charset="0"/>
              <a:cs typeface="Times New Roman" panose="02020603050405020304" pitchFamily="18" charset="0"/>
            </a:rPr>
            <a:t> regulares pode ser admitida uma</a:t>
          </a:r>
        </a:p>
        <a:p>
          <a:r>
            <a:rPr lang="pt-PT" sz="900" baseline="0">
              <a:latin typeface="Times New Roman" panose="02020603050405020304" pitchFamily="18" charset="0"/>
              <a:cs typeface="Times New Roman" panose="02020603050405020304" pitchFamily="18" charset="0"/>
            </a:rPr>
            <a:t>eficiência hidráulica (nf) de 0,9, a </a:t>
          </a:r>
        </a:p>
        <a:p>
          <a:r>
            <a:rPr lang="pt-PT" sz="900" baseline="0">
              <a:latin typeface="Times New Roman" panose="02020603050405020304" pitchFamily="18" charset="0"/>
              <a:cs typeface="Times New Roman" panose="02020603050405020304" pitchFamily="18" charset="0"/>
            </a:rPr>
            <a:t>menos que as suas carateristicas </a:t>
          </a:r>
        </a:p>
        <a:p>
          <a:r>
            <a:rPr lang="pt-PT" sz="900" baseline="0">
              <a:latin typeface="Times New Roman" panose="02020603050405020304" pitchFamily="18" charset="0"/>
              <a:cs typeface="Times New Roman" panose="02020603050405020304" pitchFamily="18" charset="0"/>
            </a:rPr>
            <a:t>recomendem a adoção de outro valor.</a:t>
          </a:r>
        </a:p>
        <a:p>
          <a:r>
            <a:rPr lang="pt-PT" sz="1100" baseline="0"/>
            <a:t> </a:t>
          </a:r>
          <a:endParaRPr lang="pt-PT" sz="1100"/>
        </a:p>
      </xdr:txBody>
    </xdr:sp>
    <xdr:clientData/>
  </xdr:oneCellAnchor>
  <xdr:twoCellAnchor editAs="oneCell">
    <xdr:from>
      <xdr:col>0</xdr:col>
      <xdr:colOff>0</xdr:colOff>
      <xdr:row>42</xdr:row>
      <xdr:rowOff>0</xdr:rowOff>
    </xdr:from>
    <xdr:to>
      <xdr:col>1</xdr:col>
      <xdr:colOff>152400</xdr:colOff>
      <xdr:row>43</xdr:row>
      <xdr:rowOff>8617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68940"/>
          <a:ext cx="731520" cy="496297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731520</xdr:colOff>
      <xdr:row>1</xdr:row>
      <xdr:rowOff>16237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8980" y="0"/>
          <a:ext cx="731520" cy="496297"/>
        </a:xfrm>
        <a:prstGeom prst="rect">
          <a:avLst/>
        </a:prstGeom>
      </xdr:spPr>
    </xdr:pic>
    <xdr:clientData/>
  </xdr:twoCellAnchor>
  <xdr:twoCellAnchor editAs="oneCell">
    <xdr:from>
      <xdr:col>12</xdr:col>
      <xdr:colOff>1089660</xdr:colOff>
      <xdr:row>0</xdr:row>
      <xdr:rowOff>0</xdr:rowOff>
    </xdr:from>
    <xdr:to>
      <xdr:col>13</xdr:col>
      <xdr:colOff>716280</xdr:colOff>
      <xdr:row>1</xdr:row>
      <xdr:rowOff>16237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35100" y="0"/>
          <a:ext cx="731520" cy="4962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631192</xdr:colOff>
      <xdr:row>1</xdr:row>
      <xdr:rowOff>7620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31192" cy="4191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18305</xdr:colOff>
      <xdr:row>1</xdr:row>
      <xdr:rowOff>15239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785" cy="563879"/>
        </a:xfrm>
        <a:prstGeom prst="rect">
          <a:avLst/>
        </a:prstGeom>
      </xdr:spPr>
    </xdr:pic>
    <xdr:clientData/>
  </xdr:twoCellAnchor>
  <xdr:twoCellAnchor>
    <xdr:from>
      <xdr:col>4</xdr:col>
      <xdr:colOff>159779</xdr:colOff>
      <xdr:row>10</xdr:row>
      <xdr:rowOff>411480</xdr:rowOff>
    </xdr:from>
    <xdr:to>
      <xdr:col>7</xdr:col>
      <xdr:colOff>403860</xdr:colOff>
      <xdr:row>23</xdr:row>
      <xdr:rowOff>76200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38100</xdr:colOff>
      <xdr:row>0</xdr:row>
      <xdr:rowOff>76200</xdr:rowOff>
    </xdr:from>
    <xdr:to>
      <xdr:col>7</xdr:col>
      <xdr:colOff>0</xdr:colOff>
      <xdr:row>0</xdr:row>
      <xdr:rowOff>485775</xdr:rowOff>
    </xdr:to>
    <xdr:sp macro="" textlink="">
      <xdr:nvSpPr>
        <xdr:cNvPr id="4" name="Oval 3"/>
        <xdr:cNvSpPr/>
      </xdr:nvSpPr>
      <xdr:spPr>
        <a:xfrm>
          <a:off x="6115050" y="76200"/>
          <a:ext cx="381000" cy="409575"/>
        </a:xfrm>
        <a:prstGeom prst="ellipse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6</xdr:col>
      <xdr:colOff>360045</xdr:colOff>
      <xdr:row>0</xdr:row>
      <xdr:rowOff>358140</xdr:rowOff>
    </xdr:from>
    <xdr:ext cx="716280" cy="195566"/>
    <xdr:sp macro="" textlink="">
      <xdr:nvSpPr>
        <xdr:cNvPr id="7" name="CaixaDeTexto 6"/>
        <xdr:cNvSpPr txBox="1"/>
      </xdr:nvSpPr>
      <xdr:spPr>
        <a:xfrm>
          <a:off x="6436995" y="358140"/>
          <a:ext cx="716280" cy="1955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PT" sz="700" b="1">
              <a:latin typeface="Times New Roman" panose="02020603050405020304" pitchFamily="18" charset="0"/>
              <a:cs typeface="Times New Roman" panose="02020603050405020304" pitchFamily="18" charset="0"/>
            </a:rPr>
            <a:t>CLASSE</a:t>
          </a:r>
        </a:p>
      </xdr:txBody>
    </xdr:sp>
    <xdr:clientData/>
  </xdr:oneCellAnchor>
  <xdr:oneCellAnchor>
    <xdr:from>
      <xdr:col>0</xdr:col>
      <xdr:colOff>1</xdr:colOff>
      <xdr:row>36</xdr:row>
      <xdr:rowOff>0</xdr:rowOff>
    </xdr:from>
    <xdr:ext cx="762000" cy="529952"/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0408920"/>
          <a:ext cx="762000" cy="529952"/>
        </a:xfrm>
        <a:prstGeom prst="rect">
          <a:avLst/>
        </a:prstGeom>
      </xdr:spPr>
    </xdr:pic>
    <xdr:clientData/>
  </xdr:oneCellAnchor>
  <xdr:twoCellAnchor>
    <xdr:from>
      <xdr:col>6</xdr:col>
      <xdr:colOff>9524</xdr:colOff>
      <xdr:row>36</xdr:row>
      <xdr:rowOff>30479</xdr:rowOff>
    </xdr:from>
    <xdr:to>
      <xdr:col>7</xdr:col>
      <xdr:colOff>0</xdr:colOff>
      <xdr:row>36</xdr:row>
      <xdr:rowOff>485774</xdr:rowOff>
    </xdr:to>
    <xdr:sp macro="" textlink="">
      <xdr:nvSpPr>
        <xdr:cNvPr id="9" name="Oval 8"/>
        <xdr:cNvSpPr/>
      </xdr:nvSpPr>
      <xdr:spPr>
        <a:xfrm>
          <a:off x="6086474" y="10431779"/>
          <a:ext cx="409576" cy="455295"/>
        </a:xfrm>
        <a:prstGeom prst="ellipse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6</xdr:col>
      <xdr:colOff>312420</xdr:colOff>
      <xdr:row>36</xdr:row>
      <xdr:rowOff>365760</xdr:rowOff>
    </xdr:from>
    <xdr:ext cx="716280" cy="195566"/>
    <xdr:sp macro="" textlink="">
      <xdr:nvSpPr>
        <xdr:cNvPr id="10" name="CaixaDeTexto 9"/>
        <xdr:cNvSpPr txBox="1"/>
      </xdr:nvSpPr>
      <xdr:spPr>
        <a:xfrm>
          <a:off x="6389370" y="10767060"/>
          <a:ext cx="716280" cy="1955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PT" sz="700" b="1">
              <a:latin typeface="Times New Roman" panose="02020603050405020304" pitchFamily="18" charset="0"/>
              <a:cs typeface="Times New Roman" panose="02020603050405020304" pitchFamily="18" charset="0"/>
            </a:rPr>
            <a:t>CLASSE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9" name="Tabela9" displayName="Tabela9" ref="B9:B10" totalsRowShown="0" headerRowDxfId="34" dataDxfId="33" headerRowCellStyle="Normal" dataCellStyle="Normal">
  <tableColumns count="1">
    <tableColumn id="1" name="Desvio das primeiras águas" dataDxfId="32" dataCellStyle="Normal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0" name="Tabela10" displayName="Tabela10" ref="B13:B14" totalsRowShown="0" headerRowDxfId="31" dataDxfId="30">
  <tableColumns count="1">
    <tableColumn id="1" name="Volume da água a aproveitar" dataDxfId="2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11" name="Tabela11" displayName="Tabela11" ref="B47:D50" totalsRowShown="0" headerRowDxfId="28" dataDxfId="26" headerRowBorderDxfId="27" tableBorderDxfId="25" totalsRowBorderDxfId="24">
  <tableColumns count="3">
    <tableColumn id="1" name="Tipo de cobertura" dataDxfId="23"/>
    <tableColumn id="2" name="Selecione" dataDxfId="22"/>
    <tableColumn id="3" name="Valor médio de C a considerar para a pluviosidade anual" dataDxf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2" name="Tabela12" displayName="Tabela12" ref="B19:B24" totalsRowShown="0" headerRowDxfId="20" dataDxfId="18" headerRowBorderDxfId="19" tableBorderDxfId="17" totalsRowBorderDxfId="16">
  <tableColumns count="1">
    <tableColumn id="1" name="Dimensionamento da cisterna (ETA 0701)" dataDxfId="15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4" name="Tabela4" displayName="Tabela4" ref="B26:B32" totalsRowShown="0" headerRowDxfId="14" dataDxfId="12" headerRowBorderDxfId="13" tableBorderDxfId="11" totalsRowBorderDxfId="10">
  <tableColumns count="1">
    <tableColumn id="1" name="Poupança de água " dataDxfId="9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22" name="Tabela22" displayName="Tabela22" ref="B34:B36" totalsRowShown="0" headerRowDxfId="8" dataDxfId="7">
  <tableColumns count="1">
    <tableColumn id="1" name="Consumos anuais" dataDxfId="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8" name="Tabela8" displayName="Tabela8" ref="G5:G17" totalsRowShown="0" headerRowDxfId="5" dataDxfId="3" headerRowBorderDxfId="4" tableBorderDxfId="2" totalsRowBorderDxfId="1">
  <tableColumns count="1">
    <tableColumn id="1" name="Mês 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showGridLines="0" showWhiteSpace="0" view="pageLayout" topLeftCell="C1" zoomScaleNormal="50" workbookViewId="0">
      <selection activeCell="K7" sqref="K7"/>
    </sheetView>
  </sheetViews>
  <sheetFormatPr defaultColWidth="8.88671875" defaultRowHeight="49.95" customHeight="1" x14ac:dyDescent="0.25"/>
  <cols>
    <col min="1" max="1" width="17.109375" style="24" customWidth="1"/>
    <col min="2" max="2" width="18.109375" style="24" customWidth="1"/>
    <col min="3" max="3" width="18.33203125" style="24" customWidth="1"/>
    <col min="4" max="4" width="9.44140625" style="24" customWidth="1"/>
    <col min="5" max="5" width="12" style="24" customWidth="1"/>
    <col min="6" max="6" width="12.33203125" style="24" customWidth="1"/>
    <col min="7" max="7" width="8.109375" style="24" customWidth="1"/>
    <col min="8" max="8" width="9.109375" style="25" customWidth="1"/>
    <col min="9" max="9" width="8.6640625" style="24" customWidth="1"/>
    <col min="10" max="10" width="9.6640625" style="24" customWidth="1"/>
    <col min="11" max="12" width="10.6640625" style="24" customWidth="1"/>
    <col min="13" max="16384" width="8.88671875" style="24"/>
  </cols>
  <sheetData>
    <row r="1" spans="1:13" ht="31.95" customHeight="1" x14ac:dyDescent="0.25">
      <c r="A1" s="176"/>
      <c r="B1" s="41" t="s">
        <v>140</v>
      </c>
      <c r="C1" s="176"/>
      <c r="D1" s="176"/>
      <c r="E1" s="176"/>
      <c r="F1" s="176"/>
      <c r="G1" s="176"/>
      <c r="H1" s="177"/>
      <c r="I1" s="178"/>
      <c r="J1" s="178"/>
      <c r="K1" s="178"/>
      <c r="L1" s="178"/>
      <c r="M1" s="27"/>
    </row>
    <row r="2" spans="1:13" ht="12.6" customHeight="1" x14ac:dyDescent="0.25"/>
    <row r="3" spans="1:13" ht="10.199999999999999" customHeight="1" x14ac:dyDescent="0.25"/>
    <row r="4" spans="1:13" ht="15" customHeight="1" thickBot="1" x14ac:dyDescent="0.3">
      <c r="A4" s="48" t="s">
        <v>137</v>
      </c>
      <c r="B4" s="48"/>
      <c r="C4" s="44"/>
      <c r="D4" s="44"/>
      <c r="E4" s="45"/>
      <c r="F4" s="46"/>
      <c r="G4" s="46"/>
      <c r="H4" s="47"/>
      <c r="I4" s="46"/>
      <c r="J4" s="43"/>
      <c r="K4" s="43"/>
      <c r="L4" s="43"/>
    </row>
    <row r="5" spans="1:13" ht="29.4" customHeight="1" thickBot="1" x14ac:dyDescent="0.3">
      <c r="A5" s="172" t="s">
        <v>0</v>
      </c>
      <c r="B5" s="173" t="s">
        <v>1</v>
      </c>
      <c r="C5" s="174" t="s">
        <v>113</v>
      </c>
      <c r="D5" s="174" t="s">
        <v>123</v>
      </c>
      <c r="E5" s="174" t="s">
        <v>134</v>
      </c>
      <c r="F5" s="174" t="s">
        <v>211</v>
      </c>
      <c r="G5" s="174" t="s">
        <v>124</v>
      </c>
      <c r="H5" s="174" t="s">
        <v>125</v>
      </c>
      <c r="I5" s="175" t="s">
        <v>20</v>
      </c>
    </row>
    <row r="6" spans="1:13" ht="28.95" customHeight="1" x14ac:dyDescent="0.25">
      <c r="A6" s="393" t="s">
        <v>130</v>
      </c>
      <c r="B6" s="53" t="s">
        <v>23</v>
      </c>
      <c r="C6" s="37" t="str">
        <f>'Equip Eficientes, Cons '!C21</f>
        <v>Não possui autoclismo de baixo consumo</v>
      </c>
      <c r="D6" s="38">
        <f>'Equip Eficientes, Cons '!E21</f>
        <v>6</v>
      </c>
      <c r="E6" s="38">
        <f>'Equip Eficientes, Cons '!F21</f>
        <v>9</v>
      </c>
      <c r="F6" s="39">
        <f>'Equip Eficientes, Cons '!I21</f>
        <v>54</v>
      </c>
      <c r="G6" s="39">
        <f>'Equip Eficientes, Cons '!J21</f>
        <v>324</v>
      </c>
      <c r="H6" s="39">
        <f>'Equip Eficientes, Cons '!K21</f>
        <v>118.26</v>
      </c>
      <c r="I6" s="40">
        <f t="shared" ref="I6:I14" si="0">F6/F$14</f>
        <v>0.2151394422310757</v>
      </c>
    </row>
    <row r="7" spans="1:13" ht="27" customHeight="1" x14ac:dyDescent="0.25">
      <c r="A7" s="394"/>
      <c r="B7" s="54" t="s">
        <v>24</v>
      </c>
      <c r="C7" s="28" t="str">
        <f>'Equip Eficientes, Cons '!C28</f>
        <v>Não possui chuveiro de baixo consumo</v>
      </c>
      <c r="D7" s="29">
        <f>'Equip Eficientes, Cons '!E28</f>
        <v>5.8</v>
      </c>
      <c r="E7" s="29">
        <f>'Equip Eficientes, Cons '!F28</f>
        <v>12.5</v>
      </c>
      <c r="F7" s="30">
        <f>'Equip Eficientes, Cons '!I28</f>
        <v>72.5</v>
      </c>
      <c r="G7" s="30">
        <f>'Equip Eficientes, Cons '!J28</f>
        <v>435</v>
      </c>
      <c r="H7" s="30">
        <f>'Equip Eficientes, Cons '!K28</f>
        <v>158.77500000000001</v>
      </c>
      <c r="I7" s="31">
        <f t="shared" si="0"/>
        <v>0.28884462151394424</v>
      </c>
    </row>
    <row r="8" spans="1:13" ht="29.4" customHeight="1" x14ac:dyDescent="0.25">
      <c r="A8" s="394"/>
      <c r="B8" s="54" t="s">
        <v>136</v>
      </c>
      <c r="C8" s="28" t="str">
        <f>'Equip Eficientes, Cons '!C35</f>
        <v>Não possui torneira de baixo consumo</v>
      </c>
      <c r="D8" s="29">
        <f>'Equip Eficientes, Cons '!E35</f>
        <v>2</v>
      </c>
      <c r="E8" s="29">
        <f>'Equip Eficientes, Cons '!F35</f>
        <v>10.5</v>
      </c>
      <c r="F8" s="30">
        <f>'Equip Eficientes, Cons '!I35</f>
        <v>21</v>
      </c>
      <c r="G8" s="30">
        <f>'Equip Eficientes, Cons '!J35</f>
        <v>126</v>
      </c>
      <c r="H8" s="30">
        <f>'Equip Eficientes, Cons '!K35</f>
        <v>45.99</v>
      </c>
      <c r="I8" s="31">
        <f t="shared" si="0"/>
        <v>8.3665338645418322E-2</v>
      </c>
    </row>
    <row r="9" spans="1:13" ht="26.4" customHeight="1" x14ac:dyDescent="0.25">
      <c r="A9" s="394"/>
      <c r="B9" s="54" t="s">
        <v>27</v>
      </c>
      <c r="C9" s="28" t="str">
        <f>'Equip Eficientes, Cons '!C42</f>
        <v>Não possui torneira de baixo consumo</v>
      </c>
      <c r="D9" s="29">
        <f>'Equip Eficientes, Cons '!E42</f>
        <v>3</v>
      </c>
      <c r="E9" s="29">
        <f>'Equip Eficientes, Cons '!F42</f>
        <v>12</v>
      </c>
      <c r="F9" s="30">
        <f>'Equip Eficientes, Cons '!I42</f>
        <v>36</v>
      </c>
      <c r="G9" s="30">
        <f>'Equip Eficientes, Cons '!J42</f>
        <v>216</v>
      </c>
      <c r="H9" s="30">
        <f>'Equip Eficientes, Cons '!K42</f>
        <v>78.84</v>
      </c>
      <c r="I9" s="31">
        <f t="shared" si="0"/>
        <v>0.14342629482071714</v>
      </c>
    </row>
    <row r="10" spans="1:13" ht="24" customHeight="1" x14ac:dyDescent="0.25">
      <c r="A10" s="394"/>
      <c r="B10" s="54" t="s">
        <v>25</v>
      </c>
      <c r="C10" s="28" t="str">
        <f>'Equip Eficientes, Cons '!C46</f>
        <v>Não possui máquina de baixo consumo</v>
      </c>
      <c r="D10" s="29">
        <f>'Equip Eficientes, Cons '!E46</f>
        <v>0.18</v>
      </c>
      <c r="E10" s="29">
        <f>'Equip Eficientes, Cons '!F46</f>
        <v>15</v>
      </c>
      <c r="F10" s="30">
        <f>'Equip Eficientes, Cons '!I46</f>
        <v>16.2</v>
      </c>
      <c r="G10" s="30">
        <f>'Equip Eficientes, Cons '!J46</f>
        <v>97.199999999999989</v>
      </c>
      <c r="H10" s="30">
        <f>'Equip Eficientes, Cons '!K46</f>
        <v>35.477999999999994</v>
      </c>
      <c r="I10" s="31">
        <f t="shared" si="0"/>
        <v>6.4541832669322702E-2</v>
      </c>
    </row>
    <row r="11" spans="1:13" ht="28.2" customHeight="1" x14ac:dyDescent="0.25">
      <c r="A11" s="395"/>
      <c r="B11" s="54" t="s">
        <v>26</v>
      </c>
      <c r="C11" s="28" t="str">
        <f>'Equip Eficientes, Cons '!C50</f>
        <v>Não possui máquina de baixo consumo</v>
      </c>
      <c r="D11" s="29">
        <f>'Equip Eficientes, Cons '!E50</f>
        <v>0.15</v>
      </c>
      <c r="E11" s="29">
        <f>'Equip Eficientes, Cons '!F50</f>
        <v>57</v>
      </c>
      <c r="F11" s="30">
        <f>'Equip Eficientes, Cons '!I50</f>
        <v>51.3</v>
      </c>
      <c r="G11" s="30">
        <f>'Equip Eficientes, Cons '!J50</f>
        <v>307.79999999999995</v>
      </c>
      <c r="H11" s="30">
        <f>'Equip Eficientes, Cons '!K50</f>
        <v>112.34699999999998</v>
      </c>
      <c r="I11" s="31">
        <f t="shared" si="0"/>
        <v>0.2043824701195219</v>
      </c>
    </row>
    <row r="12" spans="1:13" ht="32.4" customHeight="1" x14ac:dyDescent="0.25">
      <c r="A12" s="396" t="s">
        <v>22</v>
      </c>
      <c r="B12" s="54" t="s">
        <v>138</v>
      </c>
      <c r="C12" s="28" t="s">
        <v>15</v>
      </c>
      <c r="D12" s="29">
        <v>0</v>
      </c>
      <c r="E12" s="29">
        <v>0</v>
      </c>
      <c r="F12" s="30">
        <v>0</v>
      </c>
      <c r="G12" s="30">
        <v>0</v>
      </c>
      <c r="H12" s="30">
        <v>0</v>
      </c>
      <c r="I12" s="31">
        <f t="shared" si="0"/>
        <v>0</v>
      </c>
    </row>
    <row r="13" spans="1:13" ht="31.2" customHeight="1" thickBot="1" x14ac:dyDescent="0.3">
      <c r="A13" s="397"/>
      <c r="B13" s="55" t="s">
        <v>139</v>
      </c>
      <c r="C13" s="32" t="s">
        <v>15</v>
      </c>
      <c r="D13" s="33">
        <v>0</v>
      </c>
      <c r="E13" s="33">
        <v>0</v>
      </c>
      <c r="F13" s="35">
        <v>0</v>
      </c>
      <c r="G13" s="35">
        <v>0</v>
      </c>
      <c r="H13" s="35">
        <v>0</v>
      </c>
      <c r="I13" s="36">
        <f t="shared" si="0"/>
        <v>0</v>
      </c>
    </row>
    <row r="14" spans="1:13" ht="31.95" customHeight="1" thickBot="1" x14ac:dyDescent="0.3">
      <c r="A14" s="49"/>
      <c r="B14" s="34"/>
      <c r="C14" s="34"/>
      <c r="D14" s="34"/>
      <c r="E14" s="50" t="s">
        <v>21</v>
      </c>
      <c r="F14" s="51">
        <f>SUM(F5:F13)</f>
        <v>251</v>
      </c>
      <c r="G14" s="51">
        <f>SUM(G5:G13)</f>
        <v>1506</v>
      </c>
      <c r="H14" s="51">
        <f>SUM(H5:H13)</f>
        <v>549.69000000000005</v>
      </c>
      <c r="I14" s="52">
        <f t="shared" si="0"/>
        <v>1</v>
      </c>
    </row>
  </sheetData>
  <mergeCells count="2">
    <mergeCell ref="A6:A11"/>
    <mergeCell ref="A12:A13"/>
  </mergeCells>
  <pageMargins left="0" right="0" top="0.11811023622047245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showGridLines="0" view="pageLayout" zoomScale="73" zoomScaleNormal="50" zoomScalePageLayoutView="73" workbookViewId="0">
      <selection activeCell="D7" sqref="D7"/>
    </sheetView>
  </sheetViews>
  <sheetFormatPr defaultColWidth="8.88671875" defaultRowHeight="49.95" customHeight="1" x14ac:dyDescent="0.25"/>
  <cols>
    <col min="1" max="1" width="18.6640625" style="24" customWidth="1"/>
    <col min="2" max="2" width="14.33203125" style="24" customWidth="1"/>
    <col min="3" max="3" width="22.6640625" style="24" customWidth="1"/>
    <col min="4" max="4" width="8.33203125" style="24" customWidth="1"/>
    <col min="5" max="5" width="10.6640625" style="24" customWidth="1"/>
    <col min="6" max="6" width="9.6640625" style="24" customWidth="1"/>
    <col min="7" max="7" width="8.6640625" style="24" customWidth="1"/>
    <col min="8" max="8" width="9.33203125" style="25" bestFit="1" customWidth="1"/>
    <col min="9" max="11" width="10.5546875" style="24" customWidth="1"/>
    <col min="12" max="16384" width="8.88671875" style="24"/>
  </cols>
  <sheetData>
    <row r="1" spans="1:13" ht="35.4" customHeight="1" x14ac:dyDescent="0.3">
      <c r="A1" s="56"/>
      <c r="B1" s="56"/>
      <c r="C1" s="59" t="s">
        <v>140</v>
      </c>
      <c r="D1" s="56"/>
      <c r="E1" s="57"/>
      <c r="F1" s="57"/>
      <c r="G1" s="56"/>
      <c r="H1" s="58"/>
      <c r="I1" s="56"/>
      <c r="J1" s="56"/>
      <c r="K1" s="56"/>
      <c r="L1" s="56"/>
      <c r="M1"/>
    </row>
    <row r="2" spans="1:13" ht="18.600000000000001" customHeight="1" x14ac:dyDescent="0.3">
      <c r="M2"/>
    </row>
    <row r="3" spans="1:13" ht="18.600000000000001" customHeight="1" thickBot="1" x14ac:dyDescent="0.35">
      <c r="A3" s="60" t="s">
        <v>135</v>
      </c>
      <c r="B3" s="61"/>
      <c r="C3" s="61"/>
      <c r="D3" s="61"/>
      <c r="E3" s="61"/>
      <c r="F3" s="61"/>
      <c r="G3" s="61"/>
      <c r="H3" s="62"/>
      <c r="I3" s="42"/>
      <c r="J3" s="42"/>
      <c r="K3" s="42"/>
      <c r="L3" s="42"/>
      <c r="M3"/>
    </row>
    <row r="4" spans="1:13" ht="57" customHeight="1" thickBot="1" x14ac:dyDescent="0.3">
      <c r="A4" s="65" t="s">
        <v>0</v>
      </c>
      <c r="B4" s="65" t="s">
        <v>1</v>
      </c>
      <c r="C4" s="65" t="s">
        <v>132</v>
      </c>
      <c r="D4" s="65" t="s">
        <v>10</v>
      </c>
      <c r="E4" s="65" t="s">
        <v>123</v>
      </c>
      <c r="F4" s="65" t="s">
        <v>134</v>
      </c>
      <c r="G4" s="63" t="s">
        <v>134</v>
      </c>
      <c r="H4" s="65" t="s">
        <v>133</v>
      </c>
      <c r="I4" s="65" t="s">
        <v>121</v>
      </c>
      <c r="J4" s="65" t="s">
        <v>124</v>
      </c>
      <c r="K4" s="64" t="s">
        <v>125</v>
      </c>
    </row>
    <row r="5" spans="1:13" ht="36.6" customHeight="1" x14ac:dyDescent="0.25">
      <c r="A5" s="400" t="s">
        <v>130</v>
      </c>
      <c r="B5" s="402" t="s">
        <v>147</v>
      </c>
      <c r="C5" s="82" t="s">
        <v>131</v>
      </c>
      <c r="D5" s="70"/>
      <c r="E5" s="91">
        <v>6</v>
      </c>
      <c r="F5" s="91">
        <v>4.25</v>
      </c>
      <c r="G5" s="91">
        <v>2.5</v>
      </c>
      <c r="H5" s="94"/>
      <c r="I5" s="71">
        <f>E5*(F5/3+G5*2/3)</f>
        <v>18.5</v>
      </c>
      <c r="J5" s="71">
        <f t="shared" ref="J5:J50" si="0">I5*B$60</f>
        <v>111</v>
      </c>
      <c r="K5" s="72">
        <f>J5*365/1000</f>
        <v>40.515000000000001</v>
      </c>
    </row>
    <row r="6" spans="1:13" ht="34.200000000000003" customHeight="1" x14ac:dyDescent="0.25">
      <c r="A6" s="401"/>
      <c r="B6" s="403"/>
      <c r="C6" s="86" t="s">
        <v>244</v>
      </c>
      <c r="D6" s="74"/>
      <c r="E6" s="92">
        <v>6</v>
      </c>
      <c r="F6" s="92">
        <v>5</v>
      </c>
      <c r="G6" s="92">
        <v>3.5</v>
      </c>
      <c r="H6" s="95"/>
      <c r="I6" s="75">
        <f>E6*(F6/3+G6*2/3)</f>
        <v>24</v>
      </c>
      <c r="J6" s="75">
        <f t="shared" si="0"/>
        <v>144</v>
      </c>
      <c r="K6" s="76">
        <f t="shared" ref="K6:K50" si="1">J6*365/1000</f>
        <v>52.56</v>
      </c>
    </row>
    <row r="7" spans="1:13" ht="36" customHeight="1" x14ac:dyDescent="0.25">
      <c r="A7" s="401"/>
      <c r="B7" s="67"/>
      <c r="C7" s="73" t="s">
        <v>236</v>
      </c>
      <c r="D7" s="74"/>
      <c r="E7" s="92">
        <v>6</v>
      </c>
      <c r="F7" s="92">
        <v>6.25</v>
      </c>
      <c r="G7" s="92">
        <v>3.5</v>
      </c>
      <c r="H7" s="95"/>
      <c r="I7" s="75">
        <f>E7*(F7/3+G7*2/3)</f>
        <v>26.5</v>
      </c>
      <c r="J7" s="75">
        <f t="shared" si="0"/>
        <v>159</v>
      </c>
      <c r="K7" s="76">
        <f t="shared" si="1"/>
        <v>58.034999999999997</v>
      </c>
    </row>
    <row r="8" spans="1:13" ht="37.200000000000003" customHeight="1" x14ac:dyDescent="0.25">
      <c r="A8" s="401"/>
      <c r="B8" s="67"/>
      <c r="C8" s="73" t="s">
        <v>237</v>
      </c>
      <c r="D8" s="74"/>
      <c r="E8" s="92">
        <v>6</v>
      </c>
      <c r="F8" s="92">
        <v>7.25</v>
      </c>
      <c r="G8" s="92">
        <v>3.5</v>
      </c>
      <c r="H8" s="95"/>
      <c r="I8" s="75">
        <f>E8*(F8/3+G8*2/3)</f>
        <v>28.5</v>
      </c>
      <c r="J8" s="75">
        <f t="shared" si="0"/>
        <v>171</v>
      </c>
      <c r="K8" s="76">
        <f t="shared" si="1"/>
        <v>62.414999999999999</v>
      </c>
    </row>
    <row r="9" spans="1:13" ht="40.200000000000003" customHeight="1" x14ac:dyDescent="0.25">
      <c r="A9" s="401"/>
      <c r="B9" s="67"/>
      <c r="C9" s="73" t="s">
        <v>238</v>
      </c>
      <c r="D9" s="74"/>
      <c r="E9" s="92">
        <v>6</v>
      </c>
      <c r="F9" s="92">
        <v>8.75</v>
      </c>
      <c r="G9" s="92">
        <v>3.75</v>
      </c>
      <c r="H9" s="95"/>
      <c r="I9" s="75">
        <f>E9*(F9/3+G9*2/3)</f>
        <v>32.5</v>
      </c>
      <c r="J9" s="75">
        <f t="shared" si="0"/>
        <v>195</v>
      </c>
      <c r="K9" s="76">
        <f t="shared" si="1"/>
        <v>71.174999999999997</v>
      </c>
    </row>
    <row r="10" spans="1:13" ht="37.200000000000003" customHeight="1" x14ac:dyDescent="0.25">
      <c r="A10" s="401"/>
      <c r="B10" s="67"/>
      <c r="C10" s="73" t="s">
        <v>148</v>
      </c>
      <c r="D10" s="74"/>
      <c r="E10" s="92">
        <v>6</v>
      </c>
      <c r="F10" s="92">
        <f>G10</f>
        <v>4.25</v>
      </c>
      <c r="G10" s="92">
        <v>4.25</v>
      </c>
      <c r="H10" s="95"/>
      <c r="I10" s="75">
        <f t="shared" ref="I10:I21" si="2">E10*(F10/3+G10*2/3)</f>
        <v>25.5</v>
      </c>
      <c r="J10" s="75">
        <f t="shared" si="0"/>
        <v>153</v>
      </c>
      <c r="K10" s="76">
        <f t="shared" si="1"/>
        <v>55.844999999999999</v>
      </c>
    </row>
    <row r="11" spans="1:13" ht="39.6" customHeight="1" x14ac:dyDescent="0.25">
      <c r="A11" s="401"/>
      <c r="B11" s="67"/>
      <c r="C11" s="73" t="s">
        <v>149</v>
      </c>
      <c r="D11" s="74"/>
      <c r="E11" s="92">
        <v>6</v>
      </c>
      <c r="F11" s="92">
        <f>G11</f>
        <v>5</v>
      </c>
      <c r="G11" s="92">
        <v>5</v>
      </c>
      <c r="H11" s="95"/>
      <c r="I11" s="75">
        <f t="shared" si="2"/>
        <v>30</v>
      </c>
      <c r="J11" s="75">
        <f t="shared" si="0"/>
        <v>180</v>
      </c>
      <c r="K11" s="76">
        <f t="shared" si="1"/>
        <v>65.7</v>
      </c>
    </row>
    <row r="12" spans="1:13" ht="37.950000000000003" customHeight="1" x14ac:dyDescent="0.25">
      <c r="A12" s="83"/>
      <c r="B12" s="66"/>
      <c r="C12" s="73" t="s">
        <v>150</v>
      </c>
      <c r="D12" s="74"/>
      <c r="E12" s="92">
        <v>6</v>
      </c>
      <c r="F12" s="92">
        <f>G12</f>
        <v>6.25</v>
      </c>
      <c r="G12" s="92">
        <v>6.25</v>
      </c>
      <c r="H12" s="95"/>
      <c r="I12" s="75">
        <f t="shared" si="2"/>
        <v>37.5</v>
      </c>
      <c r="J12" s="75">
        <f t="shared" si="0"/>
        <v>225</v>
      </c>
      <c r="K12" s="76">
        <f t="shared" si="1"/>
        <v>82.125</v>
      </c>
    </row>
    <row r="13" spans="1:13" ht="48.6" customHeight="1" x14ac:dyDescent="0.25">
      <c r="A13" s="83"/>
      <c r="B13" s="67"/>
      <c r="C13" s="73" t="s">
        <v>151</v>
      </c>
      <c r="D13" s="74"/>
      <c r="E13" s="92">
        <v>6</v>
      </c>
      <c r="F13" s="92">
        <f>G13</f>
        <v>7.25</v>
      </c>
      <c r="G13" s="92">
        <v>7.25</v>
      </c>
      <c r="H13" s="95"/>
      <c r="I13" s="75">
        <f t="shared" si="2"/>
        <v>43.5</v>
      </c>
      <c r="J13" s="75">
        <f t="shared" si="0"/>
        <v>261</v>
      </c>
      <c r="K13" s="76">
        <f t="shared" si="1"/>
        <v>95.265000000000001</v>
      </c>
    </row>
    <row r="14" spans="1:13" ht="40.200000000000003" customHeight="1" x14ac:dyDescent="0.25">
      <c r="A14" s="84"/>
      <c r="B14" s="67"/>
      <c r="C14" s="73" t="s">
        <v>152</v>
      </c>
      <c r="D14" s="74"/>
      <c r="E14" s="92">
        <v>6</v>
      </c>
      <c r="F14" s="92">
        <f>G14</f>
        <v>8.75</v>
      </c>
      <c r="G14" s="92">
        <v>8.75</v>
      </c>
      <c r="H14" s="95"/>
      <c r="I14" s="75">
        <f t="shared" si="2"/>
        <v>52.5</v>
      </c>
      <c r="J14" s="75">
        <f t="shared" si="0"/>
        <v>315</v>
      </c>
      <c r="K14" s="76">
        <f t="shared" si="1"/>
        <v>114.97499999999999</v>
      </c>
    </row>
    <row r="15" spans="1:13" ht="39.6" customHeight="1" x14ac:dyDescent="0.25">
      <c r="A15" s="84"/>
      <c r="B15" s="67"/>
      <c r="C15" s="73" t="s">
        <v>153</v>
      </c>
      <c r="D15" s="74"/>
      <c r="E15" s="92">
        <v>6</v>
      </c>
      <c r="F15" s="92">
        <v>4.25</v>
      </c>
      <c r="G15" s="92">
        <v>2.5</v>
      </c>
      <c r="H15" s="95"/>
      <c r="I15" s="75">
        <f t="shared" si="2"/>
        <v>18.5</v>
      </c>
      <c r="J15" s="75">
        <f t="shared" si="0"/>
        <v>111</v>
      </c>
      <c r="K15" s="76">
        <f t="shared" si="1"/>
        <v>40.515000000000001</v>
      </c>
    </row>
    <row r="16" spans="1:13" ht="37.950000000000003" customHeight="1" x14ac:dyDescent="0.25">
      <c r="A16" s="84"/>
      <c r="B16" s="67"/>
      <c r="C16" s="73" t="s">
        <v>154</v>
      </c>
      <c r="D16" s="74"/>
      <c r="E16" s="92">
        <v>6</v>
      </c>
      <c r="F16" s="92">
        <v>5</v>
      </c>
      <c r="G16" s="92">
        <v>3.5</v>
      </c>
      <c r="H16" s="95"/>
      <c r="I16" s="75">
        <f t="shared" si="2"/>
        <v>24</v>
      </c>
      <c r="J16" s="75">
        <f t="shared" si="0"/>
        <v>144</v>
      </c>
      <c r="K16" s="76">
        <f t="shared" si="1"/>
        <v>52.56</v>
      </c>
    </row>
    <row r="17" spans="1:13" ht="33.6" customHeight="1" x14ac:dyDescent="0.25">
      <c r="A17" s="84"/>
      <c r="B17" s="67"/>
      <c r="C17" s="73" t="s">
        <v>155</v>
      </c>
      <c r="D17" s="74"/>
      <c r="E17" s="92">
        <v>6</v>
      </c>
      <c r="F17" s="92">
        <v>6.25</v>
      </c>
      <c r="G17" s="92">
        <v>3.5</v>
      </c>
      <c r="H17" s="95"/>
      <c r="I17" s="75">
        <f t="shared" si="2"/>
        <v>26.5</v>
      </c>
      <c r="J17" s="75">
        <f t="shared" si="0"/>
        <v>159</v>
      </c>
      <c r="K17" s="76">
        <f t="shared" si="1"/>
        <v>58.034999999999997</v>
      </c>
      <c r="M17" s="26"/>
    </row>
    <row r="18" spans="1:13" ht="37.200000000000003" customHeight="1" x14ac:dyDescent="0.25">
      <c r="A18" s="84"/>
      <c r="B18" s="67"/>
      <c r="C18" s="73" t="s">
        <v>156</v>
      </c>
      <c r="D18" s="74"/>
      <c r="E18" s="92">
        <v>6</v>
      </c>
      <c r="F18" s="92">
        <v>7.25</v>
      </c>
      <c r="G18" s="92">
        <v>3.5</v>
      </c>
      <c r="H18" s="95"/>
      <c r="I18" s="75">
        <f t="shared" si="2"/>
        <v>28.5</v>
      </c>
      <c r="J18" s="75">
        <f t="shared" si="0"/>
        <v>171</v>
      </c>
      <c r="K18" s="76">
        <f t="shared" si="1"/>
        <v>62.414999999999999</v>
      </c>
    </row>
    <row r="19" spans="1:13" ht="33" customHeight="1" x14ac:dyDescent="0.25">
      <c r="A19" s="84"/>
      <c r="B19" s="67"/>
      <c r="C19" s="73" t="s">
        <v>157</v>
      </c>
      <c r="D19" s="74"/>
      <c r="E19" s="92">
        <v>6</v>
      </c>
      <c r="F19" s="92">
        <v>8.75</v>
      </c>
      <c r="G19" s="92">
        <v>3.75</v>
      </c>
      <c r="H19" s="95"/>
      <c r="I19" s="75">
        <f t="shared" si="2"/>
        <v>32.5</v>
      </c>
      <c r="J19" s="75">
        <f t="shared" si="0"/>
        <v>195</v>
      </c>
      <c r="K19" s="76">
        <f t="shared" si="1"/>
        <v>71.174999999999997</v>
      </c>
    </row>
    <row r="20" spans="1:13" ht="36" customHeight="1" x14ac:dyDescent="0.25">
      <c r="A20" s="84"/>
      <c r="B20" s="67"/>
      <c r="C20" s="73" t="s">
        <v>9</v>
      </c>
      <c r="D20" s="74"/>
      <c r="E20" s="92">
        <v>6</v>
      </c>
      <c r="F20" s="92">
        <f>G21</f>
        <v>9</v>
      </c>
      <c r="G20" s="92">
        <f>F20-1.5</f>
        <v>7.5</v>
      </c>
      <c r="H20" s="95"/>
      <c r="I20" s="75">
        <f t="shared" si="2"/>
        <v>48</v>
      </c>
      <c r="J20" s="75">
        <f t="shared" si="0"/>
        <v>288</v>
      </c>
      <c r="K20" s="76">
        <f t="shared" si="1"/>
        <v>105.12</v>
      </c>
    </row>
    <row r="21" spans="1:13" ht="36" customHeight="1" thickBot="1" x14ac:dyDescent="0.3">
      <c r="A21" s="84"/>
      <c r="B21" s="69"/>
      <c r="C21" s="73" t="s">
        <v>16</v>
      </c>
      <c r="D21" s="74"/>
      <c r="E21" s="92">
        <v>6</v>
      </c>
      <c r="F21" s="92">
        <f>G21</f>
        <v>9</v>
      </c>
      <c r="G21" s="92">
        <v>9</v>
      </c>
      <c r="H21" s="95"/>
      <c r="I21" s="75">
        <f t="shared" si="2"/>
        <v>54</v>
      </c>
      <c r="J21" s="75">
        <f t="shared" si="0"/>
        <v>324</v>
      </c>
      <c r="K21" s="76">
        <f t="shared" si="1"/>
        <v>118.26</v>
      </c>
    </row>
    <row r="22" spans="1:13" ht="30.6" customHeight="1" x14ac:dyDescent="0.25">
      <c r="A22" s="84"/>
      <c r="B22" s="398" t="s">
        <v>160</v>
      </c>
      <c r="C22" s="86" t="s">
        <v>158</v>
      </c>
      <c r="D22" s="74" t="s">
        <v>11</v>
      </c>
      <c r="E22" s="92">
        <v>5.8</v>
      </c>
      <c r="F22" s="92">
        <v>5</v>
      </c>
      <c r="G22" s="92"/>
      <c r="H22" s="95"/>
      <c r="I22" s="75">
        <f>E22*F22</f>
        <v>29</v>
      </c>
      <c r="J22" s="75">
        <f t="shared" si="0"/>
        <v>174</v>
      </c>
      <c r="K22" s="76">
        <f t="shared" si="1"/>
        <v>63.51</v>
      </c>
    </row>
    <row r="23" spans="1:13" ht="32.4" customHeight="1" x14ac:dyDescent="0.25">
      <c r="A23" s="84"/>
      <c r="B23" s="399"/>
      <c r="C23" s="86" t="s">
        <v>159</v>
      </c>
      <c r="D23" s="74"/>
      <c r="E23" s="92">
        <v>5.8</v>
      </c>
      <c r="F23" s="92">
        <f>AVERAGE(5,7.2)</f>
        <v>6.1</v>
      </c>
      <c r="G23" s="92"/>
      <c r="H23" s="95"/>
      <c r="I23" s="75">
        <f t="shared" ref="I23:I28" si="3">E23*F23</f>
        <v>35.379999999999995</v>
      </c>
      <c r="J23" s="75">
        <f t="shared" si="0"/>
        <v>212.27999999999997</v>
      </c>
      <c r="K23" s="76">
        <f t="shared" si="1"/>
        <v>77.482199999999992</v>
      </c>
    </row>
    <row r="24" spans="1:13" ht="24.6" customHeight="1" x14ac:dyDescent="0.25">
      <c r="A24" s="84"/>
      <c r="B24" s="67"/>
      <c r="C24" s="73" t="s">
        <v>161</v>
      </c>
      <c r="D24" s="74"/>
      <c r="E24" s="92">
        <v>5.8</v>
      </c>
      <c r="F24" s="92">
        <f>AVERAGE(9,7.2)</f>
        <v>8.1</v>
      </c>
      <c r="G24" s="92"/>
      <c r="H24" s="95"/>
      <c r="I24" s="75">
        <f t="shared" si="3"/>
        <v>46.98</v>
      </c>
      <c r="J24" s="75">
        <f t="shared" si="0"/>
        <v>281.88</v>
      </c>
      <c r="K24" s="76">
        <f t="shared" si="1"/>
        <v>102.8862</v>
      </c>
    </row>
    <row r="25" spans="1:13" ht="33.6" customHeight="1" x14ac:dyDescent="0.25">
      <c r="A25" s="84"/>
      <c r="B25" s="67"/>
      <c r="C25" s="73" t="s">
        <v>162</v>
      </c>
      <c r="D25" s="74"/>
      <c r="E25" s="92">
        <v>5.8</v>
      </c>
      <c r="F25" s="92">
        <f>AVERAGE(15,9)</f>
        <v>12</v>
      </c>
      <c r="G25" s="92"/>
      <c r="H25" s="95"/>
      <c r="I25" s="75">
        <f t="shared" si="3"/>
        <v>69.599999999999994</v>
      </c>
      <c r="J25" s="75">
        <f t="shared" si="0"/>
        <v>417.59999999999997</v>
      </c>
      <c r="K25" s="76">
        <f t="shared" si="1"/>
        <v>152.42400000000001</v>
      </c>
    </row>
    <row r="26" spans="1:13" ht="32.4" customHeight="1" x14ac:dyDescent="0.25">
      <c r="A26" s="84"/>
      <c r="B26" s="67"/>
      <c r="C26" s="73" t="s">
        <v>163</v>
      </c>
      <c r="D26" s="74"/>
      <c r="E26" s="92">
        <v>5.8</v>
      </c>
      <c r="F26" s="92">
        <f>AVERAGE(15,30)</f>
        <v>22.5</v>
      </c>
      <c r="G26" s="92"/>
      <c r="H26" s="95"/>
      <c r="I26" s="75">
        <f t="shared" si="3"/>
        <v>130.5</v>
      </c>
      <c r="J26" s="75">
        <f t="shared" si="0"/>
        <v>783</v>
      </c>
      <c r="K26" s="76">
        <f t="shared" si="1"/>
        <v>285.79500000000002</v>
      </c>
    </row>
    <row r="27" spans="1:13" ht="29.4" customHeight="1" x14ac:dyDescent="0.25">
      <c r="A27" s="84"/>
      <c r="B27" s="67"/>
      <c r="C27" s="73" t="s">
        <v>164</v>
      </c>
      <c r="D27" s="74"/>
      <c r="E27" s="92">
        <v>5.8</v>
      </c>
      <c r="F27" s="92">
        <f>30</f>
        <v>30</v>
      </c>
      <c r="G27" s="92"/>
      <c r="H27" s="95"/>
      <c r="I27" s="75">
        <f t="shared" si="3"/>
        <v>174</v>
      </c>
      <c r="J27" s="75">
        <f t="shared" si="0"/>
        <v>1044</v>
      </c>
      <c r="K27" s="76">
        <f t="shared" si="1"/>
        <v>381.06</v>
      </c>
    </row>
    <row r="28" spans="1:13" ht="33" customHeight="1" thickBot="1" x14ac:dyDescent="0.3">
      <c r="A28" s="84"/>
      <c r="B28" s="69"/>
      <c r="C28" s="73" t="s">
        <v>17</v>
      </c>
      <c r="D28" s="74"/>
      <c r="E28" s="92">
        <v>5.8</v>
      </c>
      <c r="F28" s="92">
        <v>12.5</v>
      </c>
      <c r="G28" s="92"/>
      <c r="H28" s="95"/>
      <c r="I28" s="75">
        <f t="shared" si="3"/>
        <v>72.5</v>
      </c>
      <c r="J28" s="75">
        <f t="shared" si="0"/>
        <v>435</v>
      </c>
      <c r="K28" s="76">
        <f t="shared" si="1"/>
        <v>158.77500000000001</v>
      </c>
    </row>
    <row r="29" spans="1:13" ht="33" customHeight="1" x14ac:dyDescent="0.25">
      <c r="A29" s="84"/>
      <c r="B29" s="398" t="s">
        <v>165</v>
      </c>
      <c r="C29" s="73" t="s">
        <v>166</v>
      </c>
      <c r="D29" s="74"/>
      <c r="E29" s="92">
        <v>2</v>
      </c>
      <c r="F29" s="92">
        <v>2</v>
      </c>
      <c r="G29" s="92"/>
      <c r="H29" s="95"/>
      <c r="I29" s="75">
        <f>E29*F29</f>
        <v>4</v>
      </c>
      <c r="J29" s="75">
        <f t="shared" si="0"/>
        <v>24</v>
      </c>
      <c r="K29" s="76">
        <f t="shared" si="1"/>
        <v>8.76</v>
      </c>
    </row>
    <row r="30" spans="1:13" ht="30.6" customHeight="1" x14ac:dyDescent="0.25">
      <c r="A30" s="84"/>
      <c r="B30" s="399"/>
      <c r="C30" s="73" t="s">
        <v>167</v>
      </c>
      <c r="D30" s="74"/>
      <c r="E30" s="92">
        <v>2</v>
      </c>
      <c r="F30" s="92">
        <v>3</v>
      </c>
      <c r="G30" s="92"/>
      <c r="H30" s="95"/>
      <c r="I30" s="75">
        <f t="shared" ref="I30:I35" si="4">E30*F30</f>
        <v>6</v>
      </c>
      <c r="J30" s="75">
        <f t="shared" si="0"/>
        <v>36</v>
      </c>
      <c r="K30" s="76">
        <f t="shared" si="1"/>
        <v>13.14</v>
      </c>
    </row>
    <row r="31" spans="1:13" ht="31.95" customHeight="1" x14ac:dyDescent="0.25">
      <c r="A31" s="84"/>
      <c r="B31" s="68"/>
      <c r="C31" s="73" t="s">
        <v>168</v>
      </c>
      <c r="D31" s="74"/>
      <c r="E31" s="92">
        <v>2</v>
      </c>
      <c r="F31" s="92">
        <v>5</v>
      </c>
      <c r="G31" s="92"/>
      <c r="H31" s="95"/>
      <c r="I31" s="75">
        <f t="shared" si="4"/>
        <v>10</v>
      </c>
      <c r="J31" s="75">
        <f t="shared" si="0"/>
        <v>60</v>
      </c>
      <c r="K31" s="76">
        <f t="shared" si="1"/>
        <v>21.9</v>
      </c>
    </row>
    <row r="32" spans="1:13" ht="37.200000000000003" customHeight="1" x14ac:dyDescent="0.25">
      <c r="A32" s="84"/>
      <c r="B32" s="68"/>
      <c r="C32" s="73" t="s">
        <v>169</v>
      </c>
      <c r="D32" s="74"/>
      <c r="E32" s="92">
        <v>2</v>
      </c>
      <c r="F32" s="92">
        <v>7.5</v>
      </c>
      <c r="G32" s="92"/>
      <c r="H32" s="95"/>
      <c r="I32" s="75">
        <f t="shared" si="4"/>
        <v>15</v>
      </c>
      <c r="J32" s="75">
        <f t="shared" si="0"/>
        <v>90</v>
      </c>
      <c r="K32" s="76">
        <f t="shared" si="1"/>
        <v>32.85</v>
      </c>
    </row>
    <row r="33" spans="1:11" ht="37.200000000000003" customHeight="1" x14ac:dyDescent="0.25">
      <c r="A33" s="84"/>
      <c r="B33" s="67"/>
      <c r="C33" s="73" t="s">
        <v>170</v>
      </c>
      <c r="D33" s="74"/>
      <c r="E33" s="92">
        <v>2</v>
      </c>
      <c r="F33" s="92">
        <v>10.5</v>
      </c>
      <c r="G33" s="92"/>
      <c r="H33" s="95"/>
      <c r="I33" s="75">
        <f t="shared" si="4"/>
        <v>21</v>
      </c>
      <c r="J33" s="75">
        <f t="shared" si="0"/>
        <v>126</v>
      </c>
      <c r="K33" s="76">
        <f t="shared" si="1"/>
        <v>45.99</v>
      </c>
    </row>
    <row r="34" spans="1:11" ht="33" customHeight="1" x14ac:dyDescent="0.25">
      <c r="A34" s="84"/>
      <c r="B34" s="67"/>
      <c r="C34" s="73" t="s">
        <v>171</v>
      </c>
      <c r="D34" s="74"/>
      <c r="E34" s="92">
        <v>2</v>
      </c>
      <c r="F34" s="92">
        <v>12</v>
      </c>
      <c r="G34" s="92"/>
      <c r="H34" s="95"/>
      <c r="I34" s="75">
        <f t="shared" si="4"/>
        <v>24</v>
      </c>
      <c r="J34" s="75">
        <f t="shared" si="0"/>
        <v>144</v>
      </c>
      <c r="K34" s="76">
        <f t="shared" si="1"/>
        <v>52.56</v>
      </c>
    </row>
    <row r="35" spans="1:11" ht="37.950000000000003" customHeight="1" thickBot="1" x14ac:dyDescent="0.3">
      <c r="A35" s="84"/>
      <c r="B35" s="69"/>
      <c r="C35" s="73" t="s">
        <v>18</v>
      </c>
      <c r="D35" s="74"/>
      <c r="E35" s="92">
        <v>2</v>
      </c>
      <c r="F35" s="92">
        <v>10.5</v>
      </c>
      <c r="G35" s="92"/>
      <c r="H35" s="95"/>
      <c r="I35" s="75">
        <f t="shared" si="4"/>
        <v>21</v>
      </c>
      <c r="J35" s="75">
        <f t="shared" si="0"/>
        <v>126</v>
      </c>
      <c r="K35" s="76">
        <f t="shared" si="1"/>
        <v>45.99</v>
      </c>
    </row>
    <row r="36" spans="1:11" ht="34.950000000000003" customHeight="1" x14ac:dyDescent="0.25">
      <c r="A36" s="84"/>
      <c r="B36" s="398" t="s">
        <v>172</v>
      </c>
      <c r="C36" s="86" t="s">
        <v>173</v>
      </c>
      <c r="D36" s="74"/>
      <c r="E36" s="92">
        <v>3</v>
      </c>
      <c r="F36" s="92">
        <v>4</v>
      </c>
      <c r="G36" s="92"/>
      <c r="H36" s="95"/>
      <c r="I36" s="75">
        <f>E36*F36</f>
        <v>12</v>
      </c>
      <c r="J36" s="75">
        <f t="shared" si="0"/>
        <v>72</v>
      </c>
      <c r="K36" s="76">
        <f t="shared" si="1"/>
        <v>26.28</v>
      </c>
    </row>
    <row r="37" spans="1:11" ht="33" customHeight="1" x14ac:dyDescent="0.25">
      <c r="A37" s="84"/>
      <c r="B37" s="399"/>
      <c r="C37" s="73" t="s">
        <v>174</v>
      </c>
      <c r="D37" s="74"/>
      <c r="E37" s="92">
        <v>3</v>
      </c>
      <c r="F37" s="92">
        <v>5</v>
      </c>
      <c r="G37" s="92"/>
      <c r="H37" s="95"/>
      <c r="I37" s="75">
        <f t="shared" ref="I37:I42" si="5">E37*F37</f>
        <v>15</v>
      </c>
      <c r="J37" s="75">
        <f t="shared" si="0"/>
        <v>90</v>
      </c>
      <c r="K37" s="76">
        <f t="shared" si="1"/>
        <v>32.85</v>
      </c>
    </row>
    <row r="38" spans="1:11" ht="29.4" customHeight="1" x14ac:dyDescent="0.25">
      <c r="A38" s="84"/>
      <c r="B38" s="67"/>
      <c r="C38" s="73" t="s">
        <v>175</v>
      </c>
      <c r="D38" s="74"/>
      <c r="E38" s="92">
        <v>3</v>
      </c>
      <c r="F38" s="92">
        <v>7.5</v>
      </c>
      <c r="G38" s="92"/>
      <c r="H38" s="95"/>
      <c r="I38" s="75">
        <f t="shared" si="5"/>
        <v>22.5</v>
      </c>
      <c r="J38" s="75">
        <f t="shared" si="0"/>
        <v>135</v>
      </c>
      <c r="K38" s="76">
        <f t="shared" si="1"/>
        <v>49.274999999999999</v>
      </c>
    </row>
    <row r="39" spans="1:11" ht="31.2" customHeight="1" x14ac:dyDescent="0.25">
      <c r="A39" s="84"/>
      <c r="B39" s="67"/>
      <c r="C39" s="73" t="s">
        <v>176</v>
      </c>
      <c r="D39" s="74"/>
      <c r="E39" s="92">
        <v>3</v>
      </c>
      <c r="F39" s="92">
        <v>10.5</v>
      </c>
      <c r="G39" s="92"/>
      <c r="H39" s="95"/>
      <c r="I39" s="75">
        <f t="shared" si="5"/>
        <v>31.5</v>
      </c>
      <c r="J39" s="75">
        <f t="shared" si="0"/>
        <v>189</v>
      </c>
      <c r="K39" s="76">
        <f t="shared" si="1"/>
        <v>68.984999999999999</v>
      </c>
    </row>
    <row r="40" spans="1:11" ht="29.4" customHeight="1" x14ac:dyDescent="0.25">
      <c r="A40" s="84"/>
      <c r="B40" s="67"/>
      <c r="C40" s="73" t="s">
        <v>177</v>
      </c>
      <c r="D40" s="74"/>
      <c r="E40" s="92">
        <v>3</v>
      </c>
      <c r="F40" s="92">
        <v>13.5</v>
      </c>
      <c r="G40" s="92"/>
      <c r="H40" s="95"/>
      <c r="I40" s="75">
        <f t="shared" si="5"/>
        <v>40.5</v>
      </c>
      <c r="J40" s="75">
        <f t="shared" si="0"/>
        <v>243</v>
      </c>
      <c r="K40" s="76">
        <f t="shared" si="1"/>
        <v>88.694999999999993</v>
      </c>
    </row>
    <row r="41" spans="1:11" ht="31.2" customHeight="1" x14ac:dyDescent="0.25">
      <c r="A41" s="84"/>
      <c r="B41" s="67"/>
      <c r="C41" s="73" t="s">
        <v>178</v>
      </c>
      <c r="D41" s="74"/>
      <c r="E41" s="92">
        <v>3</v>
      </c>
      <c r="F41" s="92">
        <v>15</v>
      </c>
      <c r="G41" s="92"/>
      <c r="H41" s="95"/>
      <c r="I41" s="75">
        <f t="shared" si="5"/>
        <v>45</v>
      </c>
      <c r="J41" s="75">
        <f t="shared" si="0"/>
        <v>270</v>
      </c>
      <c r="K41" s="76">
        <f t="shared" si="1"/>
        <v>98.55</v>
      </c>
    </row>
    <row r="42" spans="1:11" ht="33.6" customHeight="1" thickBot="1" x14ac:dyDescent="0.3">
      <c r="A42" s="84"/>
      <c r="B42" s="69"/>
      <c r="C42" s="73" t="s">
        <v>18</v>
      </c>
      <c r="D42" s="74"/>
      <c r="E42" s="92">
        <v>3</v>
      </c>
      <c r="F42" s="92">
        <v>12</v>
      </c>
      <c r="G42" s="92"/>
      <c r="H42" s="95"/>
      <c r="I42" s="75">
        <f t="shared" si="5"/>
        <v>36</v>
      </c>
      <c r="J42" s="75">
        <f t="shared" si="0"/>
        <v>216</v>
      </c>
      <c r="K42" s="76">
        <f t="shared" si="1"/>
        <v>78.84</v>
      </c>
    </row>
    <row r="43" spans="1:11" ht="48.6" customHeight="1" x14ac:dyDescent="0.25">
      <c r="A43" s="84"/>
      <c r="B43" s="81" t="s">
        <v>13</v>
      </c>
      <c r="C43" s="86" t="s">
        <v>141</v>
      </c>
      <c r="D43" s="74"/>
      <c r="E43" s="92">
        <v>0.18</v>
      </c>
      <c r="F43" s="92">
        <v>6</v>
      </c>
      <c r="G43" s="92"/>
      <c r="H43" s="95"/>
      <c r="I43" s="75">
        <f>E43*(F43)*B$60</f>
        <v>6.48</v>
      </c>
      <c r="J43" s="75">
        <f t="shared" si="0"/>
        <v>38.880000000000003</v>
      </c>
      <c r="K43" s="76">
        <f t="shared" si="1"/>
        <v>14.1912</v>
      </c>
    </row>
    <row r="44" spans="1:11" ht="48.6" customHeight="1" x14ac:dyDescent="0.25">
      <c r="A44" s="84"/>
      <c r="B44" s="67"/>
      <c r="C44" s="73" t="s">
        <v>142</v>
      </c>
      <c r="D44" s="74"/>
      <c r="E44" s="92">
        <v>0.18</v>
      </c>
      <c r="F44" s="92">
        <v>9</v>
      </c>
      <c r="G44" s="92"/>
      <c r="H44" s="95"/>
      <c r="I44" s="75">
        <f t="shared" ref="I44:I50" si="6">E44*(F44)*B$60</f>
        <v>9.7199999999999989</v>
      </c>
      <c r="J44" s="75">
        <f t="shared" si="0"/>
        <v>58.319999999999993</v>
      </c>
      <c r="K44" s="76">
        <f t="shared" si="1"/>
        <v>21.286799999999999</v>
      </c>
    </row>
    <row r="45" spans="1:11" ht="48.6" customHeight="1" x14ac:dyDescent="0.25">
      <c r="A45" s="84"/>
      <c r="B45" s="67"/>
      <c r="C45" s="73" t="s">
        <v>143</v>
      </c>
      <c r="D45" s="74"/>
      <c r="E45" s="92">
        <v>0.18</v>
      </c>
      <c r="F45" s="92">
        <v>12</v>
      </c>
      <c r="G45" s="92"/>
      <c r="H45" s="95"/>
      <c r="I45" s="75">
        <f t="shared" si="6"/>
        <v>12.96</v>
      </c>
      <c r="J45" s="75">
        <f t="shared" si="0"/>
        <v>77.760000000000005</v>
      </c>
      <c r="K45" s="76">
        <f t="shared" si="1"/>
        <v>28.382400000000001</v>
      </c>
    </row>
    <row r="46" spans="1:11" ht="39" customHeight="1" thickBot="1" x14ac:dyDescent="0.3">
      <c r="A46" s="84"/>
      <c r="B46" s="69"/>
      <c r="C46" s="73" t="s">
        <v>19</v>
      </c>
      <c r="D46" s="74"/>
      <c r="E46" s="92">
        <v>0.18</v>
      </c>
      <c r="F46" s="92">
        <v>15</v>
      </c>
      <c r="G46" s="92"/>
      <c r="H46" s="95"/>
      <c r="I46" s="75">
        <f t="shared" si="6"/>
        <v>16.2</v>
      </c>
      <c r="J46" s="75">
        <f t="shared" si="0"/>
        <v>97.199999999999989</v>
      </c>
      <c r="K46" s="76">
        <f t="shared" si="1"/>
        <v>35.477999999999994</v>
      </c>
    </row>
    <row r="47" spans="1:11" ht="48.6" customHeight="1" x14ac:dyDescent="0.25">
      <c r="A47" s="84"/>
      <c r="B47" s="81" t="s">
        <v>14</v>
      </c>
      <c r="C47" s="86" t="s">
        <v>144</v>
      </c>
      <c r="D47" s="74"/>
      <c r="E47" s="92">
        <v>0.15</v>
      </c>
      <c r="F47" s="92">
        <v>37</v>
      </c>
      <c r="G47" s="92"/>
      <c r="H47" s="95"/>
      <c r="I47" s="75">
        <f t="shared" si="6"/>
        <v>33.299999999999997</v>
      </c>
      <c r="J47" s="75">
        <f t="shared" si="0"/>
        <v>199.79999999999998</v>
      </c>
      <c r="K47" s="76">
        <f t="shared" si="1"/>
        <v>72.927000000000007</v>
      </c>
    </row>
    <row r="48" spans="1:11" ht="48.6" customHeight="1" x14ac:dyDescent="0.25">
      <c r="A48" s="84"/>
      <c r="B48" s="67"/>
      <c r="C48" s="73" t="s">
        <v>145</v>
      </c>
      <c r="D48" s="74"/>
      <c r="E48" s="92">
        <v>0.15</v>
      </c>
      <c r="F48" s="92">
        <f>AVERAGE(37,57)</f>
        <v>47</v>
      </c>
      <c r="G48" s="92"/>
      <c r="H48" s="95"/>
      <c r="I48" s="75">
        <f t="shared" si="6"/>
        <v>42.3</v>
      </c>
      <c r="J48" s="75">
        <f t="shared" si="0"/>
        <v>253.79999999999998</v>
      </c>
      <c r="K48" s="76">
        <f t="shared" si="1"/>
        <v>92.637</v>
      </c>
    </row>
    <row r="49" spans="1:11" ht="48.6" customHeight="1" x14ac:dyDescent="0.25">
      <c r="A49" s="84"/>
      <c r="B49" s="67"/>
      <c r="C49" s="73" t="s">
        <v>146</v>
      </c>
      <c r="D49" s="74"/>
      <c r="E49" s="92">
        <v>0.15</v>
      </c>
      <c r="F49" s="92">
        <v>57</v>
      </c>
      <c r="G49" s="92"/>
      <c r="H49" s="95"/>
      <c r="I49" s="75">
        <f t="shared" si="6"/>
        <v>51.3</v>
      </c>
      <c r="J49" s="75">
        <f t="shared" si="0"/>
        <v>307.79999999999995</v>
      </c>
      <c r="K49" s="76">
        <f t="shared" si="1"/>
        <v>112.34699999999998</v>
      </c>
    </row>
    <row r="50" spans="1:11" ht="49.95" customHeight="1" thickBot="1" x14ac:dyDescent="0.3">
      <c r="A50" s="85"/>
      <c r="B50" s="69"/>
      <c r="C50" s="77" t="s">
        <v>19</v>
      </c>
      <c r="D50" s="78"/>
      <c r="E50" s="93">
        <v>0.15</v>
      </c>
      <c r="F50" s="93">
        <v>57</v>
      </c>
      <c r="G50" s="93"/>
      <c r="H50" s="96"/>
      <c r="I50" s="79">
        <f t="shared" si="6"/>
        <v>51.3</v>
      </c>
      <c r="J50" s="79">
        <f t="shared" si="0"/>
        <v>307.79999999999995</v>
      </c>
      <c r="K50" s="80">
        <f t="shared" si="1"/>
        <v>112.34699999999998</v>
      </c>
    </row>
    <row r="51" spans="1:11" ht="31.95" customHeight="1" thickBot="1" x14ac:dyDescent="0.3"/>
    <row r="52" spans="1:11" ht="55.95" customHeight="1" thickBot="1" x14ac:dyDescent="0.3">
      <c r="A52" s="87" t="s">
        <v>82</v>
      </c>
      <c r="B52" s="87" t="s">
        <v>88</v>
      </c>
    </row>
    <row r="53" spans="1:11" ht="22.95" customHeight="1" x14ac:dyDescent="0.25">
      <c r="A53" s="99" t="s">
        <v>83</v>
      </c>
      <c r="B53" s="100">
        <v>2</v>
      </c>
    </row>
    <row r="54" spans="1:11" ht="20.399999999999999" customHeight="1" x14ac:dyDescent="0.25">
      <c r="A54" s="101" t="s">
        <v>84</v>
      </c>
      <c r="B54" s="102">
        <v>2</v>
      </c>
    </row>
    <row r="55" spans="1:11" ht="21" customHeight="1" x14ac:dyDescent="0.25">
      <c r="A55" s="101" t="s">
        <v>85</v>
      </c>
      <c r="B55" s="102">
        <v>3</v>
      </c>
    </row>
    <row r="56" spans="1:11" ht="20.399999999999999" customHeight="1" x14ac:dyDescent="0.25">
      <c r="A56" s="101" t="s">
        <v>86</v>
      </c>
      <c r="B56" s="102">
        <v>4</v>
      </c>
    </row>
    <row r="57" spans="1:11" ht="18" customHeight="1" x14ac:dyDescent="0.25">
      <c r="A57" s="101" t="s">
        <v>87</v>
      </c>
      <c r="B57" s="102">
        <v>5</v>
      </c>
    </row>
    <row r="58" spans="1:11" ht="18" customHeight="1" thickBot="1" x14ac:dyDescent="0.3">
      <c r="A58" s="103" t="s">
        <v>89</v>
      </c>
      <c r="B58" s="104">
        <v>6</v>
      </c>
    </row>
    <row r="59" spans="1:11" ht="37.5" customHeight="1" thickBot="1" x14ac:dyDescent="0.3">
      <c r="A59" s="87" t="s">
        <v>82</v>
      </c>
      <c r="B59" s="87" t="s">
        <v>88</v>
      </c>
    </row>
    <row r="60" spans="1:11" ht="28.95" customHeight="1" thickBot="1" x14ac:dyDescent="0.3">
      <c r="A60" s="97" t="s">
        <v>89</v>
      </c>
      <c r="B60" s="105">
        <f>VLOOKUP(A60,A53:B58,2)</f>
        <v>6</v>
      </c>
    </row>
    <row r="61" spans="1:11" ht="28.95" customHeight="1" x14ac:dyDescent="0.25"/>
    <row r="62" spans="1:11" ht="28.95" customHeight="1" x14ac:dyDescent="0.25">
      <c r="A62" s="90" t="s">
        <v>180</v>
      </c>
    </row>
    <row r="63" spans="1:11" ht="24.6" customHeight="1" x14ac:dyDescent="0.25">
      <c r="A63" s="88" t="s">
        <v>230</v>
      </c>
    </row>
    <row r="64" spans="1:11" ht="25.95" customHeight="1" x14ac:dyDescent="0.25">
      <c r="A64" s="89" t="s">
        <v>179</v>
      </c>
    </row>
    <row r="65" spans="1:1" ht="25.95" customHeight="1" x14ac:dyDescent="0.25">
      <c r="A65" s="106" t="s">
        <v>243</v>
      </c>
    </row>
  </sheetData>
  <mergeCells count="5">
    <mergeCell ref="B36:B37"/>
    <mergeCell ref="A5:A11"/>
    <mergeCell ref="B29:B30"/>
    <mergeCell ref="B22:B23"/>
    <mergeCell ref="B5:B6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tabSelected="1" view="pageLayout" topLeftCell="H16" zoomScaleNormal="75" workbookViewId="0">
      <selection activeCell="K22" sqref="K22"/>
    </sheetView>
  </sheetViews>
  <sheetFormatPr defaultRowHeight="14.4" x14ac:dyDescent="0.3"/>
  <cols>
    <col min="1" max="1" width="8.109375" customWidth="1"/>
    <col min="2" max="2" width="44.6640625" customWidth="1"/>
    <col min="3" max="3" width="9.6640625" style="4" customWidth="1"/>
    <col min="4" max="4" width="17.6640625" customWidth="1"/>
    <col min="5" max="5" width="6.33203125" customWidth="1"/>
    <col min="6" max="6" width="13.33203125" customWidth="1"/>
    <col min="7" max="7" width="16.109375" customWidth="1"/>
    <col min="8" max="8" width="16.6640625" customWidth="1"/>
    <col min="9" max="9" width="13.44140625" customWidth="1"/>
    <col min="10" max="10" width="11.33203125" customWidth="1"/>
    <col min="11" max="11" width="14.33203125" customWidth="1"/>
    <col min="12" max="12" width="10.88671875" customWidth="1"/>
    <col min="13" max="13" width="15.44140625" customWidth="1"/>
    <col min="14" max="14" width="14.44140625" customWidth="1"/>
    <col min="15" max="15" width="15.5546875" customWidth="1"/>
    <col min="16" max="16" width="11.6640625" customWidth="1"/>
    <col min="17" max="17" width="16.109375" customWidth="1"/>
    <col min="18" max="18" width="13.6640625" customWidth="1"/>
    <col min="19" max="19" width="16.109375" customWidth="1"/>
    <col min="20" max="20" width="8.109375" customWidth="1"/>
    <col min="21" max="21" width="17.21875" customWidth="1"/>
    <col min="22" max="22" width="7.6640625" customWidth="1"/>
    <col min="23" max="23" width="14.44140625" customWidth="1"/>
    <col min="24" max="24" width="18.44140625" customWidth="1"/>
  </cols>
  <sheetData>
    <row r="1" spans="1:20" ht="37.950000000000003" customHeight="1" x14ac:dyDescent="0.3">
      <c r="A1" s="107"/>
      <c r="B1" s="251" t="s">
        <v>227</v>
      </c>
      <c r="C1" s="250"/>
      <c r="D1" s="107"/>
      <c r="E1" s="107"/>
      <c r="F1" s="107"/>
      <c r="G1" s="107"/>
      <c r="H1" s="375" t="s">
        <v>140</v>
      </c>
      <c r="I1" s="107"/>
      <c r="J1" s="107"/>
      <c r="K1" s="107"/>
      <c r="L1" s="107"/>
      <c r="M1" s="107"/>
      <c r="N1" s="107"/>
      <c r="O1" s="375" t="s">
        <v>140</v>
      </c>
      <c r="P1" s="107"/>
      <c r="Q1" s="107"/>
      <c r="R1" s="107"/>
      <c r="S1" s="107"/>
      <c r="T1" s="107"/>
    </row>
    <row r="3" spans="1:20" ht="15.6" x14ac:dyDescent="0.3">
      <c r="A3" s="252" t="s">
        <v>220</v>
      </c>
      <c r="B3" s="253"/>
      <c r="C3" s="227"/>
      <c r="D3" s="227"/>
      <c r="E3" s="227"/>
      <c r="F3" s="226"/>
      <c r="G3" s="305" t="s">
        <v>231</v>
      </c>
      <c r="H3" s="306"/>
      <c r="I3" s="306"/>
      <c r="J3" s="306"/>
      <c r="K3" s="306"/>
      <c r="M3" s="27"/>
      <c r="N3" s="421"/>
      <c r="O3" s="421"/>
      <c r="P3" s="421"/>
      <c r="Q3" s="421"/>
      <c r="R3" s="421"/>
      <c r="S3" s="421"/>
      <c r="T3" s="226"/>
    </row>
    <row r="4" spans="1:20" ht="15" thickBot="1" x14ac:dyDescent="0.35"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20" ht="34.799999999999997" thickBot="1" x14ac:dyDescent="0.35">
      <c r="B5" s="238" t="s">
        <v>95</v>
      </c>
      <c r="C5" s="254">
        <v>100</v>
      </c>
      <c r="G5" s="352" t="s">
        <v>29</v>
      </c>
      <c r="H5" s="353" t="s">
        <v>28</v>
      </c>
      <c r="I5" s="353" t="s">
        <v>108</v>
      </c>
      <c r="J5" s="353" t="s">
        <v>109</v>
      </c>
      <c r="K5" s="353" t="s">
        <v>66</v>
      </c>
      <c r="L5" s="353" t="s">
        <v>109</v>
      </c>
      <c r="M5" s="353" t="s">
        <v>66</v>
      </c>
      <c r="N5" s="353" t="s">
        <v>109</v>
      </c>
      <c r="O5" s="353" t="s">
        <v>66</v>
      </c>
      <c r="P5" s="353" t="s">
        <v>109</v>
      </c>
      <c r="Q5" s="353" t="s">
        <v>66</v>
      </c>
      <c r="R5" s="353" t="s">
        <v>109</v>
      </c>
      <c r="S5" s="420" t="s">
        <v>66</v>
      </c>
    </row>
    <row r="6" spans="1:20" ht="15" thickBot="1" x14ac:dyDescent="0.35">
      <c r="B6" s="238" t="s">
        <v>91</v>
      </c>
      <c r="C6" s="254" t="s">
        <v>92</v>
      </c>
      <c r="G6" s="371" t="s">
        <v>30</v>
      </c>
      <c r="H6" s="307">
        <v>220</v>
      </c>
      <c r="I6" s="308">
        <f>C$14*(H6-C$10)*C$5*C$16</f>
        <v>15696</v>
      </c>
      <c r="J6" s="308">
        <f>MIN($D$37/12*1000,I6+K4)</f>
        <v>0</v>
      </c>
      <c r="K6" s="308">
        <f>MIN(K4+$I6-J6,I$25*1000)</f>
        <v>2000</v>
      </c>
      <c r="L6" s="308">
        <f>MIN(IF($I$6&gt;$D$37/12*1000,$D$37/12*1000,$I$6),K25*1000)</f>
        <v>0</v>
      </c>
      <c r="M6" s="308">
        <f>MIN(M4+$I6-L6,K$25*1000)</f>
        <v>3000</v>
      </c>
      <c r="N6" s="308">
        <f>MIN(IF($I$6&gt;$D$37/12*1000,$D$37/12*1000,$I$6),M25*1000)</f>
        <v>0</v>
      </c>
      <c r="O6" s="308">
        <f>MIN(O4+$I6-N6,M$25*1000)</f>
        <v>4000</v>
      </c>
      <c r="P6" s="308">
        <f>MIN(IF($I$6&gt;$D$37/12*1000,$D$37/12*1000,$I$6),O25*1000)</f>
        <v>0</v>
      </c>
      <c r="Q6" s="308">
        <f>MIN(Q4+$I6-P6,O$25*1000)</f>
        <v>5000</v>
      </c>
      <c r="R6" s="308">
        <f>MIN(IF($I$6&gt;$D$37/12*1000,$D$37/12*1000,$I$6),Q25*1000)</f>
        <v>0</v>
      </c>
      <c r="S6" s="309">
        <f>MIN(S4+$I6-R6,Q$25*1000)</f>
        <v>6000</v>
      </c>
    </row>
    <row r="7" spans="1:20" ht="15" thickBot="1" x14ac:dyDescent="0.35">
      <c r="G7" s="372" t="s">
        <v>31</v>
      </c>
      <c r="H7" s="310">
        <v>189</v>
      </c>
      <c r="I7" s="311">
        <f t="shared" ref="I7:I17" si="0">C$14*(H7-C$10)*C$5*C$16</f>
        <v>13464</v>
      </c>
      <c r="J7" s="311">
        <f t="shared" ref="J7:J17" si="1">MIN($D$37/12*1000,I7+K6)</f>
        <v>0</v>
      </c>
      <c r="K7" s="311">
        <f t="shared" ref="K7:K17" si="2">MIN(K6+$I7-J7,I$25*1000)</f>
        <v>2000</v>
      </c>
      <c r="L7" s="311">
        <f t="shared" ref="L7:L17" si="3">MIN(M6,$D$37/12*1000)</f>
        <v>0</v>
      </c>
      <c r="M7" s="311">
        <f t="shared" ref="M7:M17" si="4">MIN(M6+$I7-L7,K$25*1000)</f>
        <v>3000</v>
      </c>
      <c r="N7" s="311">
        <f t="shared" ref="N7:N17" si="5">MIN(O6,$D$37/12*1000)</f>
        <v>0</v>
      </c>
      <c r="O7" s="311">
        <f t="shared" ref="O7:O17" si="6">MIN(O6+$I7-N7,M$25*1000)</f>
        <v>4000</v>
      </c>
      <c r="P7" s="311">
        <f t="shared" ref="P7:P17" si="7">MIN(Q6,$D$37/12*1000)</f>
        <v>0</v>
      </c>
      <c r="Q7" s="311">
        <f t="shared" ref="Q7:Q17" si="8">MIN(Q6+$I7-P7,O$25*1000)</f>
        <v>5000</v>
      </c>
      <c r="R7" s="311">
        <f t="shared" ref="R7:R17" si="9">MIN(S6,$D$37/12*1000)</f>
        <v>0</v>
      </c>
      <c r="S7" s="312">
        <f t="shared" ref="S7:S17" si="10">MIN(S6+$I7-R7,Q$25*1000)</f>
        <v>6000</v>
      </c>
    </row>
    <row r="8" spans="1:20" ht="19.2" customHeight="1" thickBot="1" x14ac:dyDescent="0.35">
      <c r="A8" s="11" t="s">
        <v>42</v>
      </c>
      <c r="B8" s="11"/>
      <c r="G8" s="372" t="s">
        <v>32</v>
      </c>
      <c r="H8" s="310">
        <v>154</v>
      </c>
      <c r="I8" s="311">
        <f t="shared" si="0"/>
        <v>10944</v>
      </c>
      <c r="J8" s="311">
        <f t="shared" si="1"/>
        <v>0</v>
      </c>
      <c r="K8" s="311">
        <f t="shared" si="2"/>
        <v>2000</v>
      </c>
      <c r="L8" s="311">
        <f t="shared" si="3"/>
        <v>0</v>
      </c>
      <c r="M8" s="311">
        <f t="shared" si="4"/>
        <v>3000</v>
      </c>
      <c r="N8" s="311">
        <f t="shared" si="5"/>
        <v>0</v>
      </c>
      <c r="O8" s="311">
        <f t="shared" si="6"/>
        <v>4000</v>
      </c>
      <c r="P8" s="311">
        <f t="shared" si="7"/>
        <v>0</v>
      </c>
      <c r="Q8" s="311">
        <f t="shared" si="8"/>
        <v>5000</v>
      </c>
      <c r="R8" s="311">
        <f t="shared" si="9"/>
        <v>0</v>
      </c>
      <c r="S8" s="312">
        <f t="shared" si="10"/>
        <v>6000</v>
      </c>
    </row>
    <row r="9" spans="1:20" ht="40.200000000000003" customHeight="1" thickBot="1" x14ac:dyDescent="0.35">
      <c r="A9" s="10" t="s">
        <v>56</v>
      </c>
      <c r="B9" s="259" t="s">
        <v>43</v>
      </c>
      <c r="C9" s="258" t="s">
        <v>94</v>
      </c>
      <c r="G9" s="372" t="s">
        <v>33</v>
      </c>
      <c r="H9" s="310">
        <v>114</v>
      </c>
      <c r="I9" s="311">
        <f t="shared" si="0"/>
        <v>8064</v>
      </c>
      <c r="J9" s="311">
        <f t="shared" si="1"/>
        <v>0</v>
      </c>
      <c r="K9" s="311">
        <f t="shared" si="2"/>
        <v>2000</v>
      </c>
      <c r="L9" s="311">
        <f t="shared" si="3"/>
        <v>0</v>
      </c>
      <c r="M9" s="311">
        <f t="shared" si="4"/>
        <v>3000</v>
      </c>
      <c r="N9" s="311">
        <f t="shared" si="5"/>
        <v>0</v>
      </c>
      <c r="O9" s="311">
        <f t="shared" si="6"/>
        <v>4000</v>
      </c>
      <c r="P9" s="311">
        <f t="shared" si="7"/>
        <v>0</v>
      </c>
      <c r="Q9" s="311">
        <f t="shared" si="8"/>
        <v>5000</v>
      </c>
      <c r="R9" s="311">
        <f t="shared" si="9"/>
        <v>0</v>
      </c>
      <c r="S9" s="312">
        <f t="shared" si="10"/>
        <v>6000</v>
      </c>
    </row>
    <row r="10" spans="1:20" ht="19.95" customHeight="1" thickBot="1" x14ac:dyDescent="0.35">
      <c r="A10" s="13"/>
      <c r="B10" s="257" t="s">
        <v>44</v>
      </c>
      <c r="C10" s="277">
        <v>2</v>
      </c>
      <c r="G10" s="372" t="s">
        <v>34</v>
      </c>
      <c r="H10" s="310">
        <v>113</v>
      </c>
      <c r="I10" s="311">
        <f t="shared" si="0"/>
        <v>7992.0000000000018</v>
      </c>
      <c r="J10" s="311">
        <f t="shared" si="1"/>
        <v>0</v>
      </c>
      <c r="K10" s="311">
        <f t="shared" si="2"/>
        <v>2000</v>
      </c>
      <c r="L10" s="311">
        <f t="shared" si="3"/>
        <v>0</v>
      </c>
      <c r="M10" s="311">
        <f t="shared" si="4"/>
        <v>3000</v>
      </c>
      <c r="N10" s="311">
        <f t="shared" si="5"/>
        <v>0</v>
      </c>
      <c r="O10" s="311">
        <f t="shared" si="6"/>
        <v>4000</v>
      </c>
      <c r="P10" s="311">
        <f t="shared" si="7"/>
        <v>0</v>
      </c>
      <c r="Q10" s="311">
        <f t="shared" si="8"/>
        <v>5000</v>
      </c>
      <c r="R10" s="311">
        <f t="shared" si="9"/>
        <v>0</v>
      </c>
      <c r="S10" s="312">
        <f t="shared" si="10"/>
        <v>6000</v>
      </c>
    </row>
    <row r="11" spans="1:20" ht="21" customHeight="1" thickBot="1" x14ac:dyDescent="0.35">
      <c r="A11" s="13"/>
      <c r="B11" s="256" t="s">
        <v>45</v>
      </c>
      <c r="C11" s="264">
        <f>C10*C5</f>
        <v>200</v>
      </c>
      <c r="G11" s="372" t="s">
        <v>35</v>
      </c>
      <c r="H11" s="310">
        <v>57</v>
      </c>
      <c r="I11" s="311">
        <f t="shared" si="0"/>
        <v>3960</v>
      </c>
      <c r="J11" s="311">
        <f t="shared" si="1"/>
        <v>0</v>
      </c>
      <c r="K11" s="311">
        <f t="shared" si="2"/>
        <v>2000</v>
      </c>
      <c r="L11" s="311">
        <f t="shared" si="3"/>
        <v>0</v>
      </c>
      <c r="M11" s="311">
        <f t="shared" si="4"/>
        <v>3000</v>
      </c>
      <c r="N11" s="311">
        <f t="shared" si="5"/>
        <v>0</v>
      </c>
      <c r="O11" s="311">
        <f t="shared" si="6"/>
        <v>4000</v>
      </c>
      <c r="P11" s="311">
        <f t="shared" si="7"/>
        <v>0</v>
      </c>
      <c r="Q11" s="311">
        <f t="shared" si="8"/>
        <v>5000</v>
      </c>
      <c r="R11" s="311">
        <f t="shared" si="9"/>
        <v>0</v>
      </c>
      <c r="S11" s="312">
        <f t="shared" si="10"/>
        <v>6000</v>
      </c>
    </row>
    <row r="12" spans="1:20" ht="22.95" customHeight="1" thickBot="1" x14ac:dyDescent="0.35">
      <c r="A12" s="13"/>
      <c r="B12" s="21"/>
      <c r="C12" s="2"/>
      <c r="G12" s="372" t="s">
        <v>36</v>
      </c>
      <c r="H12" s="310">
        <v>22</v>
      </c>
      <c r="I12" s="311">
        <f t="shared" si="0"/>
        <v>1440</v>
      </c>
      <c r="J12" s="311">
        <f t="shared" si="1"/>
        <v>0</v>
      </c>
      <c r="K12" s="311">
        <f t="shared" si="2"/>
        <v>2000</v>
      </c>
      <c r="L12" s="311">
        <f t="shared" si="3"/>
        <v>0</v>
      </c>
      <c r="M12" s="311">
        <f t="shared" si="4"/>
        <v>3000</v>
      </c>
      <c r="N12" s="311">
        <f t="shared" si="5"/>
        <v>0</v>
      </c>
      <c r="O12" s="311">
        <f t="shared" si="6"/>
        <v>4000</v>
      </c>
      <c r="P12" s="311">
        <f t="shared" si="7"/>
        <v>0</v>
      </c>
      <c r="Q12" s="311">
        <f t="shared" si="8"/>
        <v>5000</v>
      </c>
      <c r="R12" s="311">
        <f t="shared" si="9"/>
        <v>0</v>
      </c>
      <c r="S12" s="312">
        <f t="shared" si="10"/>
        <v>6000</v>
      </c>
    </row>
    <row r="13" spans="1:20" ht="22.95" customHeight="1" thickBot="1" x14ac:dyDescent="0.35">
      <c r="A13" s="11" t="s">
        <v>57</v>
      </c>
      <c r="B13" s="265" t="s">
        <v>46</v>
      </c>
      <c r="C13" s="255" t="s">
        <v>94</v>
      </c>
      <c r="D13" s="1"/>
      <c r="G13" s="372" t="s">
        <v>37</v>
      </c>
      <c r="H13" s="310">
        <v>32</v>
      </c>
      <c r="I13" s="311">
        <f t="shared" si="0"/>
        <v>2160</v>
      </c>
      <c r="J13" s="311">
        <f t="shared" si="1"/>
        <v>0</v>
      </c>
      <c r="K13" s="311">
        <f t="shared" si="2"/>
        <v>2000</v>
      </c>
      <c r="L13" s="311">
        <f t="shared" si="3"/>
        <v>0</v>
      </c>
      <c r="M13" s="311">
        <f t="shared" si="4"/>
        <v>3000</v>
      </c>
      <c r="N13" s="311">
        <f t="shared" si="5"/>
        <v>0</v>
      </c>
      <c r="O13" s="311">
        <f t="shared" si="6"/>
        <v>4000</v>
      </c>
      <c r="P13" s="311">
        <f t="shared" si="7"/>
        <v>0</v>
      </c>
      <c r="Q13" s="311">
        <f t="shared" si="8"/>
        <v>5000</v>
      </c>
      <c r="R13" s="311">
        <f t="shared" si="9"/>
        <v>0</v>
      </c>
      <c r="S13" s="312">
        <f t="shared" si="10"/>
        <v>6000</v>
      </c>
    </row>
    <row r="14" spans="1:20" ht="24.6" customHeight="1" thickBot="1" x14ac:dyDescent="0.35">
      <c r="A14" s="13"/>
      <c r="B14" s="260" t="s">
        <v>47</v>
      </c>
      <c r="C14" s="262">
        <f>VLOOKUP("x",Tabela11[[Selecione]:[Valor médio de C a considerar para a pluviosidade anual]],2)</f>
        <v>0.8</v>
      </c>
      <c r="D14" s="1"/>
      <c r="G14" s="372" t="s">
        <v>38</v>
      </c>
      <c r="H14" s="310">
        <v>8</v>
      </c>
      <c r="I14" s="311">
        <f t="shared" si="0"/>
        <v>432.00000000000006</v>
      </c>
      <c r="J14" s="311">
        <f t="shared" si="1"/>
        <v>0</v>
      </c>
      <c r="K14" s="311">
        <f t="shared" si="2"/>
        <v>2000</v>
      </c>
      <c r="L14" s="311">
        <f t="shared" si="3"/>
        <v>0</v>
      </c>
      <c r="M14" s="311">
        <f t="shared" si="4"/>
        <v>3000</v>
      </c>
      <c r="N14" s="311">
        <f t="shared" si="5"/>
        <v>0</v>
      </c>
      <c r="O14" s="311">
        <f t="shared" si="6"/>
        <v>4000</v>
      </c>
      <c r="P14" s="311">
        <f t="shared" si="7"/>
        <v>0</v>
      </c>
      <c r="Q14" s="311">
        <f t="shared" si="8"/>
        <v>5000</v>
      </c>
      <c r="R14" s="311">
        <f t="shared" si="9"/>
        <v>0</v>
      </c>
      <c r="S14" s="312">
        <f t="shared" si="10"/>
        <v>6000</v>
      </c>
    </row>
    <row r="15" spans="1:20" ht="15" thickBot="1" x14ac:dyDescent="0.35">
      <c r="A15" s="11"/>
      <c r="B15" s="260" t="s">
        <v>62</v>
      </c>
      <c r="C15" s="263">
        <f>SUM(H6:H17)</f>
        <v>1468</v>
      </c>
      <c r="D15" s="1"/>
      <c r="G15" s="372" t="s">
        <v>39</v>
      </c>
      <c r="H15" s="310">
        <v>150</v>
      </c>
      <c r="I15" s="311">
        <f t="shared" si="0"/>
        <v>10656</v>
      </c>
      <c r="J15" s="311">
        <f t="shared" si="1"/>
        <v>0</v>
      </c>
      <c r="K15" s="311">
        <f t="shared" si="2"/>
        <v>2000</v>
      </c>
      <c r="L15" s="311">
        <f t="shared" si="3"/>
        <v>0</v>
      </c>
      <c r="M15" s="311">
        <f t="shared" si="4"/>
        <v>3000</v>
      </c>
      <c r="N15" s="311">
        <f t="shared" si="5"/>
        <v>0</v>
      </c>
      <c r="O15" s="311">
        <f t="shared" si="6"/>
        <v>4000</v>
      </c>
      <c r="P15" s="311">
        <f t="shared" si="7"/>
        <v>0</v>
      </c>
      <c r="Q15" s="311">
        <f t="shared" si="8"/>
        <v>5000</v>
      </c>
      <c r="R15" s="311">
        <f t="shared" si="9"/>
        <v>0</v>
      </c>
      <c r="S15" s="312">
        <f t="shared" si="10"/>
        <v>6000</v>
      </c>
    </row>
    <row r="16" spans="1:20" ht="15" thickBot="1" x14ac:dyDescent="0.35">
      <c r="A16" s="12"/>
      <c r="B16" s="260" t="s">
        <v>48</v>
      </c>
      <c r="C16" s="263">
        <v>0.9</v>
      </c>
      <c r="D16" s="354" t="s">
        <v>61</v>
      </c>
      <c r="G16" s="372" t="s">
        <v>40</v>
      </c>
      <c r="H16" s="310">
        <v>194</v>
      </c>
      <c r="I16" s="311">
        <f t="shared" si="0"/>
        <v>13824.000000000002</v>
      </c>
      <c r="J16" s="311">
        <f t="shared" si="1"/>
        <v>0</v>
      </c>
      <c r="K16" s="311">
        <f t="shared" si="2"/>
        <v>2000</v>
      </c>
      <c r="L16" s="311">
        <f t="shared" si="3"/>
        <v>0</v>
      </c>
      <c r="M16" s="311">
        <f t="shared" si="4"/>
        <v>3000</v>
      </c>
      <c r="N16" s="311">
        <f t="shared" si="5"/>
        <v>0</v>
      </c>
      <c r="O16" s="311">
        <f t="shared" si="6"/>
        <v>4000</v>
      </c>
      <c r="P16" s="311">
        <f t="shared" si="7"/>
        <v>0</v>
      </c>
      <c r="Q16" s="311">
        <f t="shared" si="8"/>
        <v>5000</v>
      </c>
      <c r="R16" s="311">
        <f t="shared" si="9"/>
        <v>0</v>
      </c>
      <c r="S16" s="312">
        <f t="shared" si="10"/>
        <v>6000</v>
      </c>
    </row>
    <row r="17" spans="1:21" ht="15" thickBot="1" x14ac:dyDescent="0.35">
      <c r="A17" s="10"/>
      <c r="B17" s="261" t="s">
        <v>49</v>
      </c>
      <c r="C17" s="264">
        <f>C14*C15*C5*C16</f>
        <v>105696.00000000001</v>
      </c>
      <c r="D17" s="1"/>
      <c r="G17" s="373" t="s">
        <v>41</v>
      </c>
      <c r="H17" s="313">
        <v>215</v>
      </c>
      <c r="I17" s="314">
        <f t="shared" si="0"/>
        <v>15336</v>
      </c>
      <c r="J17" s="314">
        <f t="shared" si="1"/>
        <v>0</v>
      </c>
      <c r="K17" s="314">
        <f t="shared" si="2"/>
        <v>2000</v>
      </c>
      <c r="L17" s="314">
        <f t="shared" si="3"/>
        <v>0</v>
      </c>
      <c r="M17" s="314">
        <f t="shared" si="4"/>
        <v>3000</v>
      </c>
      <c r="N17" s="314">
        <f t="shared" si="5"/>
        <v>0</v>
      </c>
      <c r="O17" s="314">
        <f t="shared" si="6"/>
        <v>4000</v>
      </c>
      <c r="P17" s="314">
        <f t="shared" si="7"/>
        <v>0</v>
      </c>
      <c r="Q17" s="314">
        <f t="shared" si="8"/>
        <v>5000</v>
      </c>
      <c r="R17" s="314">
        <f t="shared" si="9"/>
        <v>0</v>
      </c>
      <c r="S17" s="315">
        <f t="shared" si="10"/>
        <v>6000</v>
      </c>
    </row>
    <row r="18" spans="1:21" x14ac:dyDescent="0.3">
      <c r="S18" s="15"/>
    </row>
    <row r="19" spans="1:21" ht="16.2" thickBot="1" x14ac:dyDescent="0.35">
      <c r="A19" t="s">
        <v>58</v>
      </c>
      <c r="B19" s="276" t="s">
        <v>100</v>
      </c>
      <c r="C19" s="267" t="s">
        <v>94</v>
      </c>
      <c r="D19" s="20"/>
      <c r="U19" s="9"/>
    </row>
    <row r="20" spans="1:21" ht="19.2" customHeight="1" thickBot="1" x14ac:dyDescent="0.35">
      <c r="B20" s="268" t="s">
        <v>55</v>
      </c>
      <c r="C20" s="272">
        <v>30</v>
      </c>
      <c r="G20" s="304" t="s">
        <v>232</v>
      </c>
      <c r="H20" s="304"/>
      <c r="I20" s="304"/>
      <c r="J20" s="304"/>
      <c r="K20" s="304"/>
      <c r="L20" s="226"/>
      <c r="M20" s="226"/>
      <c r="N20" s="226"/>
      <c r="O20" s="226"/>
      <c r="P20" s="226"/>
      <c r="Q20" s="226"/>
      <c r="R20" s="226"/>
      <c r="S20" s="422"/>
      <c r="T20" s="226"/>
    </row>
    <row r="21" spans="1:21" ht="15" thickBot="1" x14ac:dyDescent="0.35">
      <c r="B21" s="268" t="s">
        <v>96</v>
      </c>
      <c r="C21" s="273">
        <f>0.0015*C15*C5*C20/1000</f>
        <v>6.6059999999999999</v>
      </c>
      <c r="S21" s="15"/>
    </row>
    <row r="22" spans="1:21" ht="28.2" customHeight="1" thickBot="1" x14ac:dyDescent="0.35">
      <c r="B22" s="268" t="s">
        <v>97</v>
      </c>
      <c r="C22" s="274">
        <f>D37</f>
        <v>0</v>
      </c>
      <c r="F22" s="27"/>
      <c r="G22" s="27"/>
      <c r="H22" s="339" t="s">
        <v>93</v>
      </c>
      <c r="I22" s="343"/>
      <c r="J22" s="341"/>
      <c r="K22" s="343"/>
      <c r="L22" s="341"/>
      <c r="M22" s="343"/>
      <c r="N22" s="341"/>
      <c r="O22" s="343"/>
      <c r="P22" s="341"/>
      <c r="Q22" s="343"/>
      <c r="R22" s="342"/>
    </row>
    <row r="23" spans="1:21" ht="37.200000000000003" customHeight="1" thickBot="1" x14ac:dyDescent="0.35">
      <c r="B23" s="268" t="s">
        <v>98</v>
      </c>
      <c r="C23" s="273">
        <f>0.003*C22*C20</f>
        <v>0</v>
      </c>
      <c r="F23" s="27"/>
      <c r="G23" s="27"/>
      <c r="H23" s="336" t="s">
        <v>65</v>
      </c>
      <c r="I23" s="330">
        <f>SUM(J6:J17)/1000</f>
        <v>0</v>
      </c>
      <c r="J23" s="340"/>
      <c r="K23" s="331">
        <f>SUM(L6:L17)/1000</f>
        <v>0</v>
      </c>
      <c r="L23" s="340"/>
      <c r="M23" s="331">
        <f>SUM(N6:N17)/1000</f>
        <v>0</v>
      </c>
      <c r="N23" s="340"/>
      <c r="O23" s="331">
        <f>SUM(P6:P17)/1000</f>
        <v>0</v>
      </c>
      <c r="P23" s="340"/>
      <c r="Q23" s="331">
        <f>SUM(R6:R17)/1000</f>
        <v>0</v>
      </c>
      <c r="R23" s="332">
        <v>0</v>
      </c>
    </row>
    <row r="24" spans="1:21" ht="19.2" customHeight="1" thickBot="1" x14ac:dyDescent="0.35">
      <c r="B24" s="269" t="s">
        <v>67</v>
      </c>
      <c r="C24" s="275">
        <f>MIN(C21,C23)</f>
        <v>0</v>
      </c>
      <c r="F24" s="27"/>
      <c r="G24" s="27"/>
      <c r="H24" s="337"/>
      <c r="I24" s="333"/>
      <c r="J24" s="340"/>
      <c r="K24" s="334"/>
      <c r="L24" s="340"/>
      <c r="M24" s="334"/>
      <c r="N24" s="340"/>
      <c r="O24" s="334"/>
      <c r="P24" s="340"/>
      <c r="Q24" s="334"/>
      <c r="R24" s="335"/>
    </row>
    <row r="25" spans="1:21" ht="29.4" customHeight="1" thickBot="1" x14ac:dyDescent="0.35">
      <c r="A25" s="24"/>
      <c r="B25" s="24"/>
      <c r="D25" s="23"/>
      <c r="F25" s="27"/>
      <c r="G25" s="27"/>
      <c r="H25" s="338" t="s">
        <v>99</v>
      </c>
      <c r="I25" s="347">
        <v>2</v>
      </c>
      <c r="J25" s="348"/>
      <c r="K25" s="349">
        <v>3</v>
      </c>
      <c r="L25" s="348"/>
      <c r="M25" s="349">
        <v>4</v>
      </c>
      <c r="N25" s="348"/>
      <c r="O25" s="349">
        <v>5</v>
      </c>
      <c r="P25" s="348"/>
      <c r="Q25" s="349">
        <v>6</v>
      </c>
      <c r="R25" s="350">
        <v>0</v>
      </c>
    </row>
    <row r="26" spans="1:21" ht="23.4" thickBot="1" x14ac:dyDescent="0.35">
      <c r="A26" s="13" t="s">
        <v>59</v>
      </c>
      <c r="B26" s="281" t="s">
        <v>60</v>
      </c>
      <c r="C26" s="267"/>
      <c r="F26" s="27"/>
      <c r="G26" s="27"/>
      <c r="H26" s="338" t="s">
        <v>112</v>
      </c>
      <c r="I26" s="318" t="e">
        <f>I23/$D$37</f>
        <v>#DIV/0!</v>
      </c>
      <c r="J26" s="344"/>
      <c r="K26" s="319" t="e">
        <f>K23/$D$37</f>
        <v>#DIV/0!</v>
      </c>
      <c r="L26" s="344"/>
      <c r="M26" s="319" t="e">
        <f>M23/$D$37</f>
        <v>#DIV/0!</v>
      </c>
      <c r="N26" s="344"/>
      <c r="O26" s="319" t="e">
        <f>O23/$D$37</f>
        <v>#DIV/0!</v>
      </c>
      <c r="P26" s="344"/>
      <c r="Q26" s="319" t="e">
        <f>Q23/$D$37</f>
        <v>#DIV/0!</v>
      </c>
      <c r="R26" s="320">
        <v>0</v>
      </c>
    </row>
    <row r="27" spans="1:21" ht="15" thickBot="1" x14ac:dyDescent="0.35">
      <c r="B27" s="268" t="s">
        <v>105</v>
      </c>
      <c r="C27" s="278" t="e">
        <f>HLOOKUP("x",I22:R30,4)</f>
        <v>#N/A</v>
      </c>
      <c r="F27" s="27"/>
      <c r="G27" s="27"/>
      <c r="H27" s="338" t="s">
        <v>76</v>
      </c>
      <c r="I27" s="321">
        <f>LOOKUP(I25,$A55:$A69,$B55:$B69)</f>
        <v>780</v>
      </c>
      <c r="J27" s="345"/>
      <c r="K27" s="322">
        <f>LOOKUP(K25,$A55:$A69,$B55:$B69)</f>
        <v>1090</v>
      </c>
      <c r="L27" s="345"/>
      <c r="M27" s="322">
        <f>LOOKUP(M25,$A55:$A69,$B55:$B69)</f>
        <v>1270</v>
      </c>
      <c r="N27" s="345"/>
      <c r="O27" s="322">
        <f>LOOKUP(O25,$A55:$A69,$B55:$B69)</f>
        <v>1510</v>
      </c>
      <c r="P27" s="345"/>
      <c r="Q27" s="322">
        <f>LOOKUP(Q25,$A55:$A69,$B55:$B69)</f>
        <v>1510</v>
      </c>
      <c r="R27" s="323">
        <v>0</v>
      </c>
    </row>
    <row r="28" spans="1:21" ht="23.4" thickBot="1" x14ac:dyDescent="0.35">
      <c r="B28" s="268" t="s">
        <v>63</v>
      </c>
      <c r="C28" s="274" t="e">
        <f>HLOOKUP("x",I22:R30,2)</f>
        <v>#N/A</v>
      </c>
      <c r="F28" s="27"/>
      <c r="G28" s="27"/>
      <c r="H28" s="338" t="s">
        <v>79</v>
      </c>
      <c r="I28" s="324" t="e">
        <f>I27/(I23*4.92)</f>
        <v>#DIV/0!</v>
      </c>
      <c r="J28" s="346"/>
      <c r="K28" s="325" t="e">
        <f>K27/(K23*4.92)</f>
        <v>#DIV/0!</v>
      </c>
      <c r="L28" s="346"/>
      <c r="M28" s="325" t="e">
        <f>M27/(M23*4.92)</f>
        <v>#DIV/0!</v>
      </c>
      <c r="N28" s="346"/>
      <c r="O28" s="325" t="e">
        <f>O27/(O23*4.92)</f>
        <v>#DIV/0!</v>
      </c>
      <c r="P28" s="346"/>
      <c r="Q28" s="325" t="e">
        <f>Q27/(Q23*4.92)</f>
        <v>#DIV/0!</v>
      </c>
      <c r="R28" s="326">
        <v>0</v>
      </c>
    </row>
    <row r="29" spans="1:21" ht="23.4" thickBot="1" x14ac:dyDescent="0.35">
      <c r="B29" s="268" t="s">
        <v>64</v>
      </c>
      <c r="C29" s="274">
        <f>C22</f>
        <v>0</v>
      </c>
      <c r="F29" s="27"/>
      <c r="G29" s="27"/>
      <c r="H29" s="338" t="s">
        <v>101</v>
      </c>
      <c r="I29" s="327" t="e">
        <f>SUM(Certificação!$C12:$C17)-SAAP!I23</f>
        <v>#N/A</v>
      </c>
      <c r="J29" s="351"/>
      <c r="K29" s="328" t="e">
        <f>SUM(Certificação!$C12:$C17)-SAAP!K23</f>
        <v>#N/A</v>
      </c>
      <c r="L29" s="351"/>
      <c r="M29" s="328" t="e">
        <f>SUM(Certificação!$C12:$C17)-SAAP!M23</f>
        <v>#N/A</v>
      </c>
      <c r="N29" s="351"/>
      <c r="O29" s="328" t="e">
        <f>SUM(Certificação!$C12:$C17)-SAAP!O23</f>
        <v>#N/A</v>
      </c>
      <c r="P29" s="351"/>
      <c r="Q29" s="328" t="e">
        <f>SUM(Certificação!$C12:$C17)-SAAP!Q23</f>
        <v>#N/A</v>
      </c>
      <c r="R29" s="329"/>
    </row>
    <row r="30" spans="1:21" ht="15" thickBot="1" x14ac:dyDescent="0.35">
      <c r="B30" s="268" t="s">
        <v>112</v>
      </c>
      <c r="C30" s="279" t="e">
        <f>C28/C29</f>
        <v>#N/A</v>
      </c>
      <c r="F30" s="27"/>
      <c r="G30" s="27"/>
      <c r="H30" s="316"/>
      <c r="I30" s="316"/>
      <c r="J30" s="316"/>
      <c r="K30" s="316"/>
      <c r="L30" s="317"/>
      <c r="M30" s="316"/>
      <c r="N30" s="316"/>
      <c r="O30" s="316"/>
      <c r="P30" s="316"/>
      <c r="Q30" s="316"/>
      <c r="R30" s="316"/>
    </row>
    <row r="31" spans="1:21" ht="15" thickBot="1" x14ac:dyDescent="0.35">
      <c r="A31" s="13"/>
      <c r="B31" s="268" t="s">
        <v>76</v>
      </c>
      <c r="C31" s="274" t="e">
        <f>HLOOKUP("x",I22:R30,6)</f>
        <v>#N/A</v>
      </c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</row>
    <row r="32" spans="1:21" ht="15" thickBot="1" x14ac:dyDescent="0.35">
      <c r="B32" s="269" t="s">
        <v>68</v>
      </c>
      <c r="C32" s="280" t="e">
        <f>HLOOKUP("x",I22:R30,7)</f>
        <v>#N/A</v>
      </c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</row>
    <row r="33" spans="1:6" ht="15" thickBot="1" x14ac:dyDescent="0.35"/>
    <row r="34" spans="1:6" ht="15" thickBot="1" x14ac:dyDescent="0.35">
      <c r="A34" s="282" t="s">
        <v>222</v>
      </c>
      <c r="B34" s="301" t="s">
        <v>111</v>
      </c>
      <c r="C34" s="302" t="s">
        <v>93</v>
      </c>
      <c r="D34" s="303" t="s">
        <v>107</v>
      </c>
    </row>
    <row r="35" spans="1:6" ht="15" thickBot="1" x14ac:dyDescent="0.35">
      <c r="B35" s="283" t="s">
        <v>8</v>
      </c>
      <c r="C35" s="284"/>
      <c r="D35" s="285">
        <f>IF(C35="x",Certificação!C12,0)</f>
        <v>0</v>
      </c>
    </row>
    <row r="36" spans="1:6" ht="15" thickBot="1" x14ac:dyDescent="0.35">
      <c r="B36" s="283" t="s">
        <v>26</v>
      </c>
      <c r="C36" s="286"/>
      <c r="D36" s="287">
        <f>IF(C36="x",Certificação!C17,0)</f>
        <v>0</v>
      </c>
    </row>
    <row r="37" spans="1:6" ht="15" thickBot="1" x14ac:dyDescent="0.35">
      <c r="B37" s="266"/>
      <c r="C37" s="288" t="s">
        <v>12</v>
      </c>
      <c r="D37" s="368">
        <f>SUM(D35:D36)</f>
        <v>0</v>
      </c>
    </row>
    <row r="38" spans="1:6" ht="2.4" customHeight="1" x14ac:dyDescent="0.3"/>
    <row r="39" spans="1:6" x14ac:dyDescent="0.3">
      <c r="E39" s="5"/>
    </row>
    <row r="43" spans="1:6" ht="38.4" customHeight="1" x14ac:dyDescent="0.3">
      <c r="A43" s="107"/>
      <c r="B43" s="374" t="s">
        <v>226</v>
      </c>
      <c r="C43" s="250"/>
      <c r="D43" s="107"/>
      <c r="E43" s="107"/>
      <c r="F43" s="107"/>
    </row>
    <row r="45" spans="1:6" ht="15.6" x14ac:dyDescent="0.3">
      <c r="A45" s="252" t="s">
        <v>225</v>
      </c>
      <c r="B45" s="227"/>
      <c r="C45" s="253"/>
      <c r="D45" s="227"/>
      <c r="E45" s="227"/>
      <c r="F45" s="227"/>
    </row>
    <row r="47" spans="1:6" ht="36.6" thickBot="1" x14ac:dyDescent="0.35">
      <c r="B47" s="298" t="s">
        <v>50</v>
      </c>
      <c r="C47" s="299" t="s">
        <v>93</v>
      </c>
      <c r="D47" s="300" t="s">
        <v>54</v>
      </c>
    </row>
    <row r="48" spans="1:6" ht="15" thickBot="1" x14ac:dyDescent="0.35">
      <c r="B48" s="290" t="s">
        <v>53</v>
      </c>
      <c r="C48" s="292" t="s">
        <v>11</v>
      </c>
      <c r="D48" s="293">
        <v>0.8</v>
      </c>
    </row>
    <row r="49" spans="1:6" ht="15" thickBot="1" x14ac:dyDescent="0.35">
      <c r="B49" s="290" t="s">
        <v>51</v>
      </c>
      <c r="C49" s="294"/>
      <c r="D49" s="295">
        <v>0.3</v>
      </c>
    </row>
    <row r="50" spans="1:6" x14ac:dyDescent="0.3">
      <c r="B50" s="291" t="s">
        <v>52</v>
      </c>
      <c r="C50" s="296"/>
      <c r="D50" s="297">
        <v>0.5</v>
      </c>
    </row>
    <row r="52" spans="1:6" ht="15.6" x14ac:dyDescent="0.3">
      <c r="A52" s="252" t="s">
        <v>223</v>
      </c>
      <c r="B52" s="252"/>
      <c r="C52" s="355"/>
      <c r="D52" s="252"/>
      <c r="E52" s="252"/>
      <c r="F52" s="252"/>
    </row>
    <row r="53" spans="1:6" ht="18.600000000000001" customHeight="1" thickBot="1" x14ac:dyDescent="0.35"/>
    <row r="54" spans="1:6" ht="46.2" thickBot="1" x14ac:dyDescent="0.35">
      <c r="A54" s="87" t="s">
        <v>77</v>
      </c>
      <c r="B54" s="363" t="s">
        <v>78</v>
      </c>
      <c r="C54" s="87" t="s">
        <v>224</v>
      </c>
    </row>
    <row r="55" spans="1:6" ht="15" thickBot="1" x14ac:dyDescent="0.35">
      <c r="A55" s="289">
        <v>1</v>
      </c>
      <c r="B55" s="262">
        <v>400</v>
      </c>
      <c r="C55" s="364"/>
    </row>
    <row r="56" spans="1:6" ht="15" thickBot="1" x14ac:dyDescent="0.35">
      <c r="A56" s="289">
        <v>2</v>
      </c>
      <c r="B56" s="263">
        <v>579</v>
      </c>
      <c r="C56" s="365"/>
    </row>
    <row r="57" spans="1:6" ht="15" thickBot="1" x14ac:dyDescent="0.35">
      <c r="A57" s="289">
        <v>3</v>
      </c>
      <c r="B57" s="263">
        <v>753</v>
      </c>
      <c r="C57" s="365" t="s">
        <v>114</v>
      </c>
    </row>
    <row r="58" spans="1:6" ht="15" thickBot="1" x14ac:dyDescent="0.35">
      <c r="A58" s="289">
        <v>5</v>
      </c>
      <c r="B58" s="263">
        <v>1385</v>
      </c>
      <c r="C58" s="365"/>
    </row>
    <row r="59" spans="1:6" ht="15" thickBot="1" x14ac:dyDescent="0.35">
      <c r="A59" s="289">
        <v>10</v>
      </c>
      <c r="B59" s="263">
        <v>2795</v>
      </c>
      <c r="C59" s="365"/>
    </row>
    <row r="60" spans="1:6" ht="15" thickBot="1" x14ac:dyDescent="0.35">
      <c r="A60" s="356">
        <v>0.5</v>
      </c>
      <c r="B60" s="361">
        <v>395</v>
      </c>
      <c r="C60" s="365"/>
    </row>
    <row r="61" spans="1:6" ht="15" thickBot="1" x14ac:dyDescent="0.35">
      <c r="A61" s="357">
        <v>1</v>
      </c>
      <c r="B61" s="362">
        <v>460</v>
      </c>
      <c r="C61" s="366"/>
    </row>
    <row r="62" spans="1:6" ht="15" thickBot="1" x14ac:dyDescent="0.35">
      <c r="A62" s="356">
        <v>1.5</v>
      </c>
      <c r="B62" s="358">
        <v>620</v>
      </c>
      <c r="C62" s="367"/>
    </row>
    <row r="63" spans="1:6" ht="15" thickBot="1" x14ac:dyDescent="0.35">
      <c r="A63" s="357">
        <v>2</v>
      </c>
      <c r="B63" s="359">
        <v>780</v>
      </c>
      <c r="C63" s="367"/>
    </row>
    <row r="64" spans="1:6" ht="15" thickBot="1" x14ac:dyDescent="0.35">
      <c r="A64" s="356">
        <v>3</v>
      </c>
      <c r="B64" s="358">
        <v>1090</v>
      </c>
      <c r="C64" s="367" t="s">
        <v>115</v>
      </c>
    </row>
    <row r="65" spans="1:3" ht="15" thickBot="1" x14ac:dyDescent="0.35">
      <c r="A65" s="357">
        <v>4</v>
      </c>
      <c r="B65" s="359">
        <v>1270</v>
      </c>
      <c r="C65" s="367"/>
    </row>
    <row r="66" spans="1:3" ht="15" thickBot="1" x14ac:dyDescent="0.35">
      <c r="A66" s="356">
        <v>5</v>
      </c>
      <c r="B66" s="358">
        <v>1510</v>
      </c>
      <c r="C66" s="367"/>
    </row>
    <row r="67" spans="1:3" ht="15" thickBot="1" x14ac:dyDescent="0.35">
      <c r="A67" s="357">
        <v>8</v>
      </c>
      <c r="B67" s="359">
        <v>3500</v>
      </c>
      <c r="C67" s="270"/>
    </row>
    <row r="68" spans="1:3" ht="15" thickBot="1" x14ac:dyDescent="0.35">
      <c r="A68" s="356">
        <v>9</v>
      </c>
      <c r="B68" s="358">
        <v>3800</v>
      </c>
      <c r="C68" s="270"/>
    </row>
    <row r="69" spans="1:3" ht="15" thickBot="1" x14ac:dyDescent="0.35">
      <c r="A69" s="357">
        <v>10</v>
      </c>
      <c r="B69" s="360">
        <v>4100</v>
      </c>
      <c r="C69" s="271"/>
    </row>
  </sheetData>
  <pageMargins left="0" right="0" top="0" bottom="0" header="0" footer="0"/>
  <pageSetup paperSize="9" orientation="portrait" r:id="rId1"/>
  <drawing r:id="rId2"/>
  <tableParts count="7">
    <tablePart r:id="rId3"/>
    <tablePart r:id="rId4"/>
    <tablePart r:id="rId5"/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showGridLines="0" view="pageLayout" topLeftCell="A13" zoomScaleNormal="100" workbookViewId="0">
      <selection activeCell="E36" sqref="E36"/>
    </sheetView>
  </sheetViews>
  <sheetFormatPr defaultRowHeight="14.4" x14ac:dyDescent="0.3"/>
  <cols>
    <col min="2" max="2" width="35.44140625" customWidth="1"/>
    <col min="3" max="3" width="9.6640625" customWidth="1"/>
    <col min="6" max="6" width="9.6640625" customWidth="1"/>
    <col min="7" max="7" width="9.88671875" customWidth="1"/>
    <col min="8" max="8" width="11.33203125" customWidth="1"/>
    <col min="15" max="15" width="23.33203125" customWidth="1"/>
  </cols>
  <sheetData>
    <row r="1" spans="1:16" ht="32.4" customHeight="1" x14ac:dyDescent="0.3">
      <c r="A1" s="107"/>
      <c r="B1" s="251" t="s">
        <v>228</v>
      </c>
      <c r="C1" s="251"/>
      <c r="D1" s="107"/>
      <c r="E1" s="107"/>
      <c r="F1" s="107"/>
      <c r="G1" s="107"/>
    </row>
    <row r="2" spans="1:16" x14ac:dyDescent="0.3">
      <c r="B2" s="225"/>
      <c r="C2" s="225"/>
      <c r="D2" s="225"/>
      <c r="E2" s="225"/>
      <c r="F2" s="225"/>
      <c r="G2" s="225"/>
    </row>
    <row r="3" spans="1:16" x14ac:dyDescent="0.3">
      <c r="A3" s="228" t="s">
        <v>6</v>
      </c>
      <c r="B3" s="227"/>
      <c r="C3" s="227"/>
      <c r="D3" s="227"/>
      <c r="E3" s="227"/>
      <c r="F3" s="227"/>
      <c r="G3" s="227"/>
    </row>
    <row r="4" spans="1:16" ht="15" thickBot="1" x14ac:dyDescent="0.35"/>
    <row r="5" spans="1:16" ht="15" thickBot="1" x14ac:dyDescent="0.35">
      <c r="A5" s="13" t="s">
        <v>70</v>
      </c>
      <c r="B5" s="249" t="s">
        <v>234</v>
      </c>
      <c r="C5" s="249" t="s">
        <v>93</v>
      </c>
      <c r="D5" s="249" t="s">
        <v>107</v>
      </c>
    </row>
    <row r="6" spans="1:16" ht="15" thickBot="1" x14ac:dyDescent="0.35">
      <c r="A6" s="13"/>
      <c r="B6" s="239" t="s">
        <v>2</v>
      </c>
      <c r="C6" s="240"/>
      <c r="D6" s="241">
        <f>IF(C6="x",Certificação!C13,0)</f>
        <v>0</v>
      </c>
    </row>
    <row r="7" spans="1:16" ht="15" thickBot="1" x14ac:dyDescent="0.35">
      <c r="A7" s="13"/>
      <c r="B7" s="239" t="s">
        <v>69</v>
      </c>
      <c r="C7" s="242"/>
      <c r="D7" s="243">
        <f>IF(C7="x",Certificação!C14+Certificação!C15,0)</f>
        <v>0</v>
      </c>
    </row>
    <row r="8" spans="1:16" ht="15" thickBot="1" x14ac:dyDescent="0.35">
      <c r="A8" s="13"/>
      <c r="B8" s="239" t="s">
        <v>71</v>
      </c>
      <c r="C8" s="242"/>
      <c r="D8" s="243">
        <f>IF(C8="x",Certificação!C17,0)</f>
        <v>0</v>
      </c>
    </row>
    <row r="9" spans="1:16" ht="15" thickBot="1" x14ac:dyDescent="0.35">
      <c r="A9" s="13"/>
      <c r="B9" s="239" t="s">
        <v>72</v>
      </c>
      <c r="C9" s="244"/>
      <c r="D9" s="245">
        <f>D6+D7+D8</f>
        <v>0</v>
      </c>
      <c r="N9" s="13"/>
      <c r="O9" s="13"/>
    </row>
    <row r="10" spans="1:16" ht="15" thickBot="1" x14ac:dyDescent="0.35">
      <c r="B10" s="246"/>
      <c r="C10" s="1"/>
      <c r="D10" s="1"/>
    </row>
    <row r="11" spans="1:16" ht="15" thickBot="1" x14ac:dyDescent="0.35">
      <c r="A11" s="13" t="s">
        <v>75</v>
      </c>
      <c r="B11" s="249" t="s">
        <v>73</v>
      </c>
      <c r="C11" s="249" t="s">
        <v>93</v>
      </c>
      <c r="D11" s="249" t="s">
        <v>107</v>
      </c>
      <c r="O11" s="16"/>
      <c r="P11" s="17"/>
    </row>
    <row r="12" spans="1:16" ht="15" thickBot="1" x14ac:dyDescent="0.35">
      <c r="A12" s="13"/>
      <c r="B12" s="247" t="s">
        <v>8</v>
      </c>
      <c r="C12" s="240"/>
      <c r="D12" s="241">
        <f>IF(C12="x",Certificação!C12,0)</f>
        <v>0</v>
      </c>
      <c r="O12" s="16"/>
      <c r="P12" s="2"/>
    </row>
    <row r="13" spans="1:16" ht="15" thickBot="1" x14ac:dyDescent="0.35">
      <c r="A13" s="13"/>
      <c r="B13" s="247" t="s">
        <v>71</v>
      </c>
      <c r="C13" s="242"/>
      <c r="D13" s="243">
        <f>IF(C13="x",Certificação!C17,0)</f>
        <v>0</v>
      </c>
      <c r="O13" s="16"/>
      <c r="P13" s="2"/>
    </row>
    <row r="14" spans="1:16" ht="15" thickBot="1" x14ac:dyDescent="0.35">
      <c r="A14" s="13"/>
      <c r="B14" s="247" t="s">
        <v>72</v>
      </c>
      <c r="C14" s="248"/>
      <c r="D14" s="245">
        <f>D12+D13</f>
        <v>0</v>
      </c>
      <c r="O14" s="16"/>
      <c r="P14" s="2"/>
    </row>
    <row r="15" spans="1:16" ht="15" thickBot="1" x14ac:dyDescent="0.35">
      <c r="B15" s="10"/>
      <c r="O15" s="16"/>
      <c r="P15" s="2"/>
    </row>
    <row r="16" spans="1:16" ht="15" thickBot="1" x14ac:dyDescent="0.35">
      <c r="A16" s="13" t="s">
        <v>74</v>
      </c>
      <c r="B16" s="249" t="s">
        <v>216</v>
      </c>
      <c r="C16" s="229"/>
      <c r="O16" s="16"/>
      <c r="P16" s="2"/>
    </row>
    <row r="17" spans="1:16" ht="15" thickBot="1" x14ac:dyDescent="0.35">
      <c r="B17" s="239" t="s">
        <v>217</v>
      </c>
      <c r="C17" s="232">
        <f>IF(D9&gt;D14,D14,D9)</f>
        <v>0</v>
      </c>
      <c r="D17" s="4"/>
      <c r="O17" s="16"/>
      <c r="P17" s="2"/>
    </row>
    <row r="18" spans="1:16" ht="15" thickBot="1" x14ac:dyDescent="0.35">
      <c r="B18" s="239" t="s">
        <v>110</v>
      </c>
      <c r="C18" s="233" t="e">
        <f>D14/D9</f>
        <v>#DIV/0!</v>
      </c>
      <c r="O18" s="16"/>
      <c r="P18" s="2"/>
    </row>
    <row r="19" spans="1:16" ht="15" thickBot="1" x14ac:dyDescent="0.35">
      <c r="B19" s="239" t="s">
        <v>112</v>
      </c>
      <c r="C19" s="234" t="e">
        <f>C17/D14</f>
        <v>#DIV/0!</v>
      </c>
      <c r="O19" s="16"/>
      <c r="P19" s="2"/>
    </row>
    <row r="20" spans="1:16" ht="15" thickBot="1" x14ac:dyDescent="0.35">
      <c r="B20" s="10"/>
      <c r="O20" s="18"/>
      <c r="P20" s="18"/>
    </row>
    <row r="21" spans="1:16" ht="15" thickBot="1" x14ac:dyDescent="0.35">
      <c r="A21" s="235" t="s">
        <v>218</v>
      </c>
      <c r="B21" s="249" t="s">
        <v>219</v>
      </c>
      <c r="O21" s="18"/>
      <c r="P21" s="18"/>
    </row>
    <row r="22" spans="1:16" ht="15" thickBot="1" x14ac:dyDescent="0.35">
      <c r="A22" s="231"/>
      <c r="B22" s="239" t="s">
        <v>76</v>
      </c>
      <c r="C22" s="236" t="str">
        <f>VLOOKUP("x",C32:D38,2)</f>
        <v>Custo (€)</v>
      </c>
      <c r="O22" s="18"/>
      <c r="P22" s="18"/>
    </row>
    <row r="23" spans="1:16" ht="15" thickBot="1" x14ac:dyDescent="0.35">
      <c r="A23" s="230"/>
      <c r="B23" s="239" t="s">
        <v>239</v>
      </c>
      <c r="C23" s="237">
        <f>((1.88+0.73+0.29)*C26/100)+2.9</f>
        <v>3.5670000000000002</v>
      </c>
      <c r="O23" s="16"/>
      <c r="P23" s="16"/>
    </row>
    <row r="24" spans="1:16" ht="15" thickBot="1" x14ac:dyDescent="0.35">
      <c r="A24" s="230"/>
      <c r="B24" s="239" t="s">
        <v>79</v>
      </c>
      <c r="C24" s="376" t="e">
        <f>C22/(C17*C23)</f>
        <v>#VALUE!</v>
      </c>
      <c r="O24" s="16"/>
      <c r="P24" s="16"/>
    </row>
    <row r="25" spans="1:16" x14ac:dyDescent="0.3">
      <c r="O25" s="16"/>
      <c r="P25" s="16"/>
    </row>
    <row r="26" spans="1:16" x14ac:dyDescent="0.3">
      <c r="B26" s="392" t="s">
        <v>242</v>
      </c>
      <c r="C26">
        <v>23</v>
      </c>
      <c r="O26" s="18"/>
      <c r="P26" s="18"/>
    </row>
    <row r="27" spans="1:16" x14ac:dyDescent="0.3">
      <c r="A27" s="225"/>
      <c r="O27" s="16"/>
    </row>
    <row r="28" spans="1:16" x14ac:dyDescent="0.3">
      <c r="A28" s="225"/>
      <c r="O28" s="16"/>
    </row>
    <row r="29" spans="1:16" x14ac:dyDescent="0.3">
      <c r="A29" s="225"/>
    </row>
    <row r="30" spans="1:16" x14ac:dyDescent="0.3">
      <c r="A30" s="179" t="s">
        <v>194</v>
      </c>
      <c r="B30" s="179"/>
      <c r="C30" s="114"/>
      <c r="D30" s="114"/>
      <c r="E30" s="114"/>
      <c r="F30" s="114"/>
      <c r="G30" s="114"/>
    </row>
    <row r="31" spans="1:16" ht="15" thickBot="1" x14ac:dyDescent="0.35">
      <c r="B31" s="180"/>
    </row>
    <row r="32" spans="1:16" ht="15" thickBot="1" x14ac:dyDescent="0.35">
      <c r="A32" s="369" t="s">
        <v>195</v>
      </c>
      <c r="B32" s="369" t="s">
        <v>196</v>
      </c>
      <c r="C32" s="369" t="s">
        <v>233</v>
      </c>
      <c r="D32" s="370" t="s">
        <v>197</v>
      </c>
    </row>
    <row r="33" spans="1:4" x14ac:dyDescent="0.3">
      <c r="A33" s="181" t="s">
        <v>198</v>
      </c>
      <c r="B33" s="181">
        <v>1.325</v>
      </c>
      <c r="C33" s="181"/>
      <c r="D33" s="182">
        <v>4271.58</v>
      </c>
    </row>
    <row r="34" spans="1:4" x14ac:dyDescent="0.3">
      <c r="A34" s="183" t="s">
        <v>203</v>
      </c>
      <c r="B34" s="183">
        <v>2.41</v>
      </c>
      <c r="C34" s="183"/>
      <c r="D34" s="184">
        <v>4990.57</v>
      </c>
    </row>
    <row r="35" spans="1:4" x14ac:dyDescent="0.3">
      <c r="A35" s="183" t="s">
        <v>199</v>
      </c>
      <c r="B35" s="183">
        <v>4.82</v>
      </c>
      <c r="C35" s="183"/>
      <c r="D35" s="184">
        <v>7467.75</v>
      </c>
    </row>
    <row r="36" spans="1:4" x14ac:dyDescent="0.3">
      <c r="A36" s="183" t="s">
        <v>200</v>
      </c>
      <c r="B36" s="183">
        <v>5</v>
      </c>
      <c r="C36" s="183"/>
      <c r="D36" s="184">
        <v>11626.18</v>
      </c>
    </row>
    <row r="37" spans="1:4" x14ac:dyDescent="0.3">
      <c r="A37" s="183" t="s">
        <v>201</v>
      </c>
      <c r="B37" s="183">
        <v>10</v>
      </c>
      <c r="C37" s="183"/>
      <c r="D37" s="184">
        <v>15926.95</v>
      </c>
    </row>
    <row r="38" spans="1:4" ht="15" thickBot="1" x14ac:dyDescent="0.35">
      <c r="A38" s="185" t="s">
        <v>202</v>
      </c>
      <c r="B38" s="185">
        <v>15</v>
      </c>
      <c r="C38" s="185"/>
      <c r="D38" s="186">
        <v>21447.53</v>
      </c>
    </row>
  </sheetData>
  <pageMargins left="0" right="0" top="0" bottom="0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showGridLines="0" showWhiteSpace="0" view="pageLayout" topLeftCell="A23" zoomScaleNormal="63" workbookViewId="0">
      <selection activeCell="D59" sqref="D59"/>
    </sheetView>
  </sheetViews>
  <sheetFormatPr defaultRowHeight="14.4" x14ac:dyDescent="0.3"/>
  <cols>
    <col min="1" max="1" width="11.109375" customWidth="1"/>
    <col min="2" max="2" width="16.44140625" customWidth="1"/>
    <col min="3" max="4" width="13.5546875" customWidth="1"/>
    <col min="5" max="5" width="18.109375" customWidth="1"/>
    <col min="6" max="6" width="12.109375" customWidth="1"/>
    <col min="7" max="7" width="6.5546875" customWidth="1"/>
    <col min="12" max="12" width="9.6640625" bestFit="1" customWidth="1"/>
    <col min="14" max="14" width="24.88671875" customWidth="1"/>
    <col min="15" max="15" width="30" customWidth="1"/>
  </cols>
  <sheetData>
    <row r="1" spans="1:9" ht="43.2" customHeight="1" x14ac:dyDescent="0.3">
      <c r="A1" s="133" t="s">
        <v>107</v>
      </c>
      <c r="B1" s="41" t="s">
        <v>221</v>
      </c>
      <c r="C1" s="133"/>
      <c r="D1" s="107"/>
      <c r="E1" s="133"/>
      <c r="F1" s="107"/>
      <c r="G1" s="108" t="e">
        <f>IF($C$20&lt;$E$28,"A++",IF($C$20&lt;$E$29,"A+",IF($C$20&lt;$E$30,"A",IF($C$20&lt;$E$31,"B",IF($C$20&lt;$E$32,"C",IF($C$20&lt;$E$33,"D","E"))))))</f>
        <v>#N/A</v>
      </c>
      <c r="H1" s="107"/>
    </row>
    <row r="2" spans="1:9" ht="17.399999999999999" x14ac:dyDescent="0.3">
      <c r="A2" s="109" t="s">
        <v>181</v>
      </c>
      <c r="C2" s="6"/>
    </row>
    <row r="3" spans="1:9" x14ac:dyDescent="0.3">
      <c r="A3" t="s">
        <v>182</v>
      </c>
    </row>
    <row r="4" spans="1:9" x14ac:dyDescent="0.3">
      <c r="A4" t="s">
        <v>183</v>
      </c>
      <c r="D4" s="1"/>
    </row>
    <row r="5" spans="1:9" ht="15" thickBot="1" x14ac:dyDescent="0.35">
      <c r="A5" s="110" t="s">
        <v>184</v>
      </c>
      <c r="B5" s="110"/>
      <c r="C5" s="110"/>
      <c r="D5" s="110"/>
      <c r="E5" s="110"/>
      <c r="F5" s="110"/>
      <c r="G5" s="110"/>
    </row>
    <row r="6" spans="1:9" ht="15" customHeight="1" x14ac:dyDescent="0.3">
      <c r="A6" s="111" t="s">
        <v>191</v>
      </c>
      <c r="B6" s="112"/>
      <c r="C6" s="112"/>
      <c r="D6" s="112"/>
    </row>
    <row r="7" spans="1:9" ht="12.6" customHeight="1" x14ac:dyDescent="0.3">
      <c r="A7" s="112" t="s">
        <v>235</v>
      </c>
      <c r="B7" s="112"/>
      <c r="C7" s="112"/>
      <c r="D7" s="112"/>
    </row>
    <row r="8" spans="1:9" ht="4.8" customHeight="1" x14ac:dyDescent="0.3"/>
    <row r="9" spans="1:9" ht="18" customHeight="1" thickBot="1" x14ac:dyDescent="0.35">
      <c r="A9" s="48" t="s">
        <v>193</v>
      </c>
      <c r="B9" s="114"/>
      <c r="C9" s="114"/>
      <c r="D9" s="114"/>
      <c r="E9" s="124"/>
      <c r="F9" s="113"/>
      <c r="G9" s="125"/>
      <c r="H9" s="113"/>
      <c r="I9" s="6"/>
    </row>
    <row r="10" spans="1:9" ht="23.4" customHeight="1" thickBot="1" x14ac:dyDescent="0.35">
      <c r="A10" s="118"/>
      <c r="B10" s="118"/>
      <c r="C10" s="404" t="s">
        <v>214</v>
      </c>
      <c r="D10" s="405"/>
    </row>
    <row r="11" spans="1:9" ht="45" customHeight="1" thickBot="1" x14ac:dyDescent="0.35">
      <c r="A11" s="119"/>
      <c r="B11" s="87" t="s">
        <v>7</v>
      </c>
      <c r="C11" s="98" t="s">
        <v>80</v>
      </c>
      <c r="D11" s="120" t="s">
        <v>81</v>
      </c>
    </row>
    <row r="12" spans="1:9" ht="22.95" customHeight="1" x14ac:dyDescent="0.3">
      <c r="A12" s="412" t="s">
        <v>130</v>
      </c>
      <c r="B12" s="121" t="s">
        <v>8</v>
      </c>
      <c r="C12" s="126" t="e">
        <f>VLOOKUP("x",'Equip Eficientes, Cons '!D5:K21,8)</f>
        <v>#N/A</v>
      </c>
      <c r="D12" s="72">
        <f>Habitação_referência!H6</f>
        <v>118.26</v>
      </c>
    </row>
    <row r="13" spans="1:9" ht="24.6" customHeight="1" x14ac:dyDescent="0.3">
      <c r="A13" s="413"/>
      <c r="B13" s="122" t="s">
        <v>2</v>
      </c>
      <c r="C13" s="127">
        <f>VLOOKUP("X",'Equip Eficientes, Cons '!D22:K28,8)</f>
        <v>63.51</v>
      </c>
      <c r="D13" s="76">
        <f>Habitação_referência!H7</f>
        <v>158.77500000000001</v>
      </c>
    </row>
    <row r="14" spans="1:9" ht="22.95" customHeight="1" x14ac:dyDescent="0.3">
      <c r="A14" s="413"/>
      <c r="B14" s="122" t="s">
        <v>3</v>
      </c>
      <c r="C14" s="127" t="e">
        <f>VLOOKUP("X",'Equip Eficientes, Cons '!D29:K35,8)</f>
        <v>#N/A</v>
      </c>
      <c r="D14" s="76">
        <f>Habitação_referência!H8</f>
        <v>45.99</v>
      </c>
    </row>
    <row r="15" spans="1:9" ht="23.4" customHeight="1" x14ac:dyDescent="0.3">
      <c r="A15" s="413"/>
      <c r="B15" s="122" t="s">
        <v>4</v>
      </c>
      <c r="C15" s="127" t="e">
        <f>VLOOKUP("X",'Equip Eficientes, Cons '!D36:K42,8)</f>
        <v>#N/A</v>
      </c>
      <c r="D15" s="76">
        <f>Habitação_referência!H9</f>
        <v>78.84</v>
      </c>
    </row>
    <row r="16" spans="1:9" ht="22.95" customHeight="1" x14ac:dyDescent="0.3">
      <c r="A16" s="413"/>
      <c r="B16" s="122" t="s">
        <v>13</v>
      </c>
      <c r="C16" s="127" t="e">
        <f>VLOOKUP("X",'Equip Eficientes, Cons '!D43:K46,8)</f>
        <v>#N/A</v>
      </c>
      <c r="D16" s="76">
        <f>Habitação_referência!H10</f>
        <v>35.477999999999994</v>
      </c>
    </row>
    <row r="17" spans="1:11" ht="21" customHeight="1" thickBot="1" x14ac:dyDescent="0.35">
      <c r="A17" s="414"/>
      <c r="B17" s="123" t="s">
        <v>14</v>
      </c>
      <c r="C17" s="128" t="e">
        <f>VLOOKUP("X",'Equip Eficientes, Cons '!D47:K50,8)</f>
        <v>#N/A</v>
      </c>
      <c r="D17" s="80">
        <f>Habitação_referência!H11</f>
        <v>112.34699999999998</v>
      </c>
    </row>
    <row r="18" spans="1:11" ht="34.200000000000003" customHeight="1" x14ac:dyDescent="0.3">
      <c r="A18" s="415" t="s">
        <v>22</v>
      </c>
      <c r="B18" s="121" t="s">
        <v>5</v>
      </c>
      <c r="C18" s="126">
        <f>-SAAP!C29</f>
        <v>0</v>
      </c>
      <c r="D18" s="72">
        <f>Habitação_referência!H12</f>
        <v>0</v>
      </c>
    </row>
    <row r="19" spans="1:11" ht="40.200000000000003" customHeight="1" thickBot="1" x14ac:dyDescent="0.35">
      <c r="A19" s="416"/>
      <c r="B19" s="123" t="s">
        <v>6</v>
      </c>
      <c r="C19" s="128">
        <f>-SAAC!C17</f>
        <v>0</v>
      </c>
      <c r="D19" s="80">
        <f>Habitação_referência!H13</f>
        <v>0</v>
      </c>
    </row>
    <row r="20" spans="1:11" ht="25.95" customHeight="1" thickBot="1" x14ac:dyDescent="0.35">
      <c r="A20" s="115" t="s">
        <v>106</v>
      </c>
      <c r="B20" s="116" t="s">
        <v>104</v>
      </c>
      <c r="C20" s="131" t="e">
        <f>SUM(C12:C19)</f>
        <v>#N/A</v>
      </c>
      <c r="D20" s="131">
        <f>SUM(D12:D18)</f>
        <v>549.69000000000005</v>
      </c>
    </row>
    <row r="21" spans="1:11" ht="25.2" customHeight="1" thickBot="1" x14ac:dyDescent="0.35">
      <c r="A21" s="14"/>
      <c r="B21" s="117" t="s">
        <v>103</v>
      </c>
      <c r="C21" s="129" t="e">
        <f>C20/12</f>
        <v>#N/A</v>
      </c>
      <c r="D21" s="129">
        <f>D20/12</f>
        <v>45.807500000000005</v>
      </c>
    </row>
    <row r="22" spans="1:11" ht="27.6" customHeight="1" thickBot="1" x14ac:dyDescent="0.35">
      <c r="A22" s="14"/>
      <c r="B22" s="117" t="s">
        <v>102</v>
      </c>
      <c r="C22" s="129" t="e">
        <f>C21/30.42*1000</f>
        <v>#N/A</v>
      </c>
      <c r="D22" s="129">
        <f>D21/30.42*1000</f>
        <v>1505.8349769888232</v>
      </c>
      <c r="I22" s="5"/>
      <c r="J22" s="8"/>
    </row>
    <row r="23" spans="1:11" ht="22.2" customHeight="1" thickBot="1" x14ac:dyDescent="0.35">
      <c r="A23" s="14"/>
      <c r="B23" s="116" t="s">
        <v>90</v>
      </c>
      <c r="C23" s="129" t="e">
        <f>C22/'Equip Eficientes, Cons '!$B60</f>
        <v>#N/A</v>
      </c>
      <c r="D23" s="129">
        <f>D22/'Equip Eficientes, Cons '!$B60</f>
        <v>250.97249616480386</v>
      </c>
    </row>
    <row r="24" spans="1:11" ht="12.6" customHeight="1" x14ac:dyDescent="0.3">
      <c r="A24" s="3"/>
      <c r="B24" s="3"/>
      <c r="C24" s="130"/>
      <c r="D24" s="1"/>
      <c r="I24" s="19"/>
      <c r="J24" s="19"/>
      <c r="K24" s="19"/>
    </row>
    <row r="25" spans="1:11" hidden="1" x14ac:dyDescent="0.3">
      <c r="A25" s="3"/>
      <c r="B25" s="5"/>
      <c r="C25" s="8"/>
      <c r="D25" s="7"/>
    </row>
    <row r="26" spans="1:11" ht="17.399999999999999" customHeight="1" x14ac:dyDescent="0.3">
      <c r="A26" s="48" t="s">
        <v>185</v>
      </c>
      <c r="B26" s="113"/>
      <c r="C26" s="108" t="e">
        <f>IF($C$20&lt;$E$28,"A++",IF($C$20&lt;$E$29,"A+",IF($C$20&lt;$E$30,"A",IF($C$20&lt;$E$31,"B",IF($C$20&lt;$E$32,"C",IF($C$20&lt;$E$33,"D","E"))))))</f>
        <v>#N/A</v>
      </c>
      <c r="D26" s="132"/>
      <c r="E26" s="132"/>
      <c r="F26" s="114"/>
      <c r="G26" s="114"/>
      <c r="H26" s="113"/>
    </row>
    <row r="27" spans="1:11" ht="22.95" customHeight="1" x14ac:dyDescent="0.3">
      <c r="A27" s="148" t="s">
        <v>186</v>
      </c>
      <c r="D27" s="417" t="s">
        <v>212</v>
      </c>
      <c r="E27" s="417"/>
    </row>
    <row r="28" spans="1:11" ht="24" customHeight="1" x14ac:dyDescent="0.3">
      <c r="A28" s="134" t="s">
        <v>120</v>
      </c>
      <c r="B28" s="135">
        <v>0</v>
      </c>
      <c r="C28" s="135">
        <v>0.2</v>
      </c>
      <c r="D28" s="149">
        <f t="shared" ref="D28:E34" si="0">B28*$D$20</f>
        <v>0</v>
      </c>
      <c r="E28" s="150">
        <f>C28*$D$20</f>
        <v>109.93800000000002</v>
      </c>
    </row>
    <row r="29" spans="1:11" ht="21" customHeight="1" x14ac:dyDescent="0.3">
      <c r="A29" s="136" t="s">
        <v>119</v>
      </c>
      <c r="B29" s="137">
        <v>0.21</v>
      </c>
      <c r="C29" s="137">
        <v>0.4</v>
      </c>
      <c r="D29" s="151">
        <f t="shared" si="0"/>
        <v>115.43490000000001</v>
      </c>
      <c r="E29" s="152">
        <f>C29*$D$20</f>
        <v>219.87600000000003</v>
      </c>
    </row>
    <row r="30" spans="1:11" ht="22.2" customHeight="1" x14ac:dyDescent="0.3">
      <c r="A30" s="138" t="s">
        <v>114</v>
      </c>
      <c r="B30" s="139">
        <v>0.41</v>
      </c>
      <c r="C30" s="139">
        <v>0.6</v>
      </c>
      <c r="D30" s="153">
        <f t="shared" si="0"/>
        <v>225.37290000000002</v>
      </c>
      <c r="E30" s="154">
        <f t="shared" si="0"/>
        <v>329.81400000000002</v>
      </c>
    </row>
    <row r="31" spans="1:11" ht="21.6" customHeight="1" x14ac:dyDescent="0.3">
      <c r="A31" s="140" t="s">
        <v>115</v>
      </c>
      <c r="B31" s="141">
        <v>0.61</v>
      </c>
      <c r="C31" s="141">
        <v>0.8</v>
      </c>
      <c r="D31" s="155">
        <f t="shared" si="0"/>
        <v>335.3109</v>
      </c>
      <c r="E31" s="156">
        <f t="shared" si="0"/>
        <v>439.75200000000007</v>
      </c>
    </row>
    <row r="32" spans="1:11" ht="19.2" customHeight="1" x14ac:dyDescent="0.3">
      <c r="A32" s="142" t="s">
        <v>116</v>
      </c>
      <c r="B32" s="143">
        <v>0.81</v>
      </c>
      <c r="C32" s="143">
        <v>1</v>
      </c>
      <c r="D32" s="157">
        <f t="shared" si="0"/>
        <v>445.24890000000005</v>
      </c>
      <c r="E32" s="158">
        <f t="shared" si="0"/>
        <v>549.69000000000005</v>
      </c>
    </row>
    <row r="33" spans="1:8" ht="22.2" customHeight="1" x14ac:dyDescent="0.3">
      <c r="A33" s="144" t="s">
        <v>117</v>
      </c>
      <c r="B33" s="145">
        <v>1.01</v>
      </c>
      <c r="C33" s="145">
        <v>1.2</v>
      </c>
      <c r="D33" s="159">
        <f t="shared" si="0"/>
        <v>555.18690000000004</v>
      </c>
      <c r="E33" s="160">
        <f t="shared" si="0"/>
        <v>659.62800000000004</v>
      </c>
    </row>
    <row r="34" spans="1:8" ht="18" customHeight="1" x14ac:dyDescent="0.3">
      <c r="A34" s="146" t="s">
        <v>118</v>
      </c>
      <c r="B34" s="147">
        <v>1.21</v>
      </c>
      <c r="C34" s="147">
        <v>1.5</v>
      </c>
      <c r="D34" s="161">
        <f t="shared" si="0"/>
        <v>665.12490000000003</v>
      </c>
      <c r="E34" s="162">
        <f>C34*$D$20</f>
        <v>824.53500000000008</v>
      </c>
    </row>
    <row r="35" spans="1:8" ht="19.2" customHeight="1" x14ac:dyDescent="0.3">
      <c r="A35" s="148" t="s">
        <v>187</v>
      </c>
    </row>
    <row r="36" spans="1:8" ht="42.6" customHeight="1" x14ac:dyDescent="0.3"/>
    <row r="37" spans="1:8" ht="41.4" customHeight="1" x14ac:dyDescent="0.3">
      <c r="A37" s="133" t="s">
        <v>107</v>
      </c>
      <c r="B37" s="41" t="s">
        <v>229</v>
      </c>
      <c r="C37" s="133"/>
      <c r="D37" s="133"/>
      <c r="E37" s="133"/>
      <c r="F37" s="107"/>
      <c r="G37" s="108" t="e">
        <f>IF($C$20&lt;$E$28,"A++",IF($C$20&lt;$E$29,"A+",IF($C$20&lt;$E$30,"A",IF($C$20&lt;$E$31,"B",IF($C$20&lt;$E$32,"C",IF($C$20&lt;$E$33,"D","E"))))))</f>
        <v>#N/A</v>
      </c>
      <c r="H37" s="107"/>
    </row>
    <row r="38" spans="1:8" ht="19.2" customHeight="1" x14ac:dyDescent="0.3">
      <c r="A38" s="3"/>
    </row>
    <row r="39" spans="1:8" ht="16.95" customHeight="1" thickBot="1" x14ac:dyDescent="0.35">
      <c r="A39" s="163" t="s">
        <v>188</v>
      </c>
      <c r="B39" s="114"/>
      <c r="C39" s="114"/>
      <c r="D39" s="114"/>
      <c r="E39" s="114"/>
      <c r="F39" s="114"/>
      <c r="G39" s="114"/>
      <c r="H39" s="113"/>
    </row>
    <row r="40" spans="1:8" ht="26.4" customHeight="1" x14ac:dyDescent="0.3">
      <c r="A40" s="164" t="s">
        <v>8</v>
      </c>
      <c r="B40" s="165" t="e">
        <f t="shared" ref="B40:B45" si="1">1-ABS(C12/D12)</f>
        <v>#N/A</v>
      </c>
      <c r="C40" s="418" t="e">
        <f t="shared" ref="C40:C45" si="2">IF(B40&gt;=0,"mais eficiente que o equipamento da habitação de referência","menos eficiente que o equipamento da habitação de referência")</f>
        <v>#N/A</v>
      </c>
      <c r="D40" s="419"/>
    </row>
    <row r="41" spans="1:8" ht="24.6" customHeight="1" x14ac:dyDescent="0.3">
      <c r="A41" s="166" t="s">
        <v>2</v>
      </c>
      <c r="B41" s="167">
        <f t="shared" si="1"/>
        <v>0.60000000000000009</v>
      </c>
      <c r="C41" s="408" t="str">
        <f t="shared" si="2"/>
        <v>mais eficiente que o equipamento da habitação de referência</v>
      </c>
      <c r="D41" s="409"/>
    </row>
    <row r="42" spans="1:8" ht="24" x14ac:dyDescent="0.3">
      <c r="A42" s="166" t="s">
        <v>3</v>
      </c>
      <c r="B42" s="167" t="e">
        <f t="shared" si="1"/>
        <v>#N/A</v>
      </c>
      <c r="C42" s="408" t="e">
        <f t="shared" si="2"/>
        <v>#N/A</v>
      </c>
      <c r="D42" s="409"/>
    </row>
    <row r="43" spans="1:8" ht="24" x14ac:dyDescent="0.3">
      <c r="A43" s="166" t="s">
        <v>4</v>
      </c>
      <c r="B43" s="167" t="e">
        <f t="shared" si="1"/>
        <v>#N/A</v>
      </c>
      <c r="C43" s="408" t="e">
        <f t="shared" si="2"/>
        <v>#N/A</v>
      </c>
      <c r="D43" s="409"/>
    </row>
    <row r="44" spans="1:8" ht="24" x14ac:dyDescent="0.3">
      <c r="A44" s="166" t="s">
        <v>13</v>
      </c>
      <c r="B44" s="167" t="e">
        <f t="shared" si="1"/>
        <v>#N/A</v>
      </c>
      <c r="C44" s="408" t="e">
        <f t="shared" si="2"/>
        <v>#N/A</v>
      </c>
      <c r="D44" s="409"/>
    </row>
    <row r="45" spans="1:8" ht="24" x14ac:dyDescent="0.3">
      <c r="A45" s="166" t="s">
        <v>14</v>
      </c>
      <c r="B45" s="167" t="e">
        <f t="shared" si="1"/>
        <v>#N/A</v>
      </c>
      <c r="C45" s="408" t="e">
        <f t="shared" si="2"/>
        <v>#N/A</v>
      </c>
      <c r="D45" s="409"/>
    </row>
    <row r="46" spans="1:8" ht="44.4" customHeight="1" x14ac:dyDescent="0.3">
      <c r="A46" s="166" t="s">
        <v>5</v>
      </c>
      <c r="B46" s="167">
        <f>ABS(C18/D20)</f>
        <v>0</v>
      </c>
      <c r="C46" s="408" t="str">
        <f>IF(B46&gt;=0,"mais eficiente que a referência","menos eficiente que a referência")</f>
        <v>mais eficiente que a referência</v>
      </c>
      <c r="D46" s="409"/>
    </row>
    <row r="47" spans="1:8" ht="48.6" thickBot="1" x14ac:dyDescent="0.35">
      <c r="A47" s="168" t="s">
        <v>6</v>
      </c>
      <c r="B47" s="169">
        <f>ABS(C19/D20)</f>
        <v>0</v>
      </c>
      <c r="C47" s="410" t="str">
        <f>IF(B47&gt;=0,"mais eficiente que a referência","menos eficiente que a referência")</f>
        <v>mais eficiente que a referência</v>
      </c>
      <c r="D47" s="411"/>
    </row>
    <row r="49" spans="1:8" ht="15.6" x14ac:dyDescent="0.3">
      <c r="A49" s="163" t="s">
        <v>189</v>
      </c>
      <c r="B49" s="163"/>
      <c r="C49" s="163"/>
      <c r="D49" s="114"/>
      <c r="E49" s="114"/>
      <c r="F49" s="114"/>
      <c r="G49" s="114"/>
      <c r="H49" s="113"/>
    </row>
    <row r="50" spans="1:8" x14ac:dyDescent="0.3">
      <c r="A50" s="111" t="s">
        <v>192</v>
      </c>
      <c r="B50" s="111"/>
      <c r="C50" s="111"/>
      <c r="D50" s="111"/>
      <c r="E50" s="111"/>
      <c r="F50" s="111"/>
      <c r="G50" s="112"/>
    </row>
    <row r="51" spans="1:8" ht="15" thickBot="1" x14ac:dyDescent="0.35">
      <c r="A51" s="170"/>
      <c r="B51" s="111"/>
      <c r="C51" s="111"/>
      <c r="D51" s="111"/>
      <c r="E51" s="111"/>
      <c r="F51" s="111"/>
      <c r="G51" s="112"/>
    </row>
    <row r="52" spans="1:8" ht="15" thickBot="1" x14ac:dyDescent="0.35">
      <c r="A52" s="406" t="s">
        <v>5</v>
      </c>
      <c r="B52" s="406"/>
      <c r="C52" s="406"/>
      <c r="D52" s="171" t="e">
        <f>SAAP!C30</f>
        <v>#N/A</v>
      </c>
    </row>
    <row r="53" spans="1:8" ht="15" thickBot="1" x14ac:dyDescent="0.35">
      <c r="A53" s="407" t="s">
        <v>6</v>
      </c>
      <c r="B53" s="407"/>
      <c r="C53" s="407"/>
      <c r="D53" s="216" t="e">
        <f>SAAC!C19</f>
        <v>#DIV/0!</v>
      </c>
    </row>
    <row r="54" spans="1:8" x14ac:dyDescent="0.3">
      <c r="A54" s="223" t="s">
        <v>215</v>
      </c>
      <c r="B54" s="224"/>
      <c r="C54" s="223"/>
      <c r="D54" s="223"/>
      <c r="E54" s="223"/>
    </row>
    <row r="55" spans="1:8" ht="3.6" customHeight="1" x14ac:dyDescent="0.3"/>
    <row r="56" spans="1:8" ht="15.6" x14ac:dyDescent="0.3">
      <c r="A56" s="163" t="s">
        <v>190</v>
      </c>
      <c r="B56" s="113"/>
      <c r="C56" s="113"/>
      <c r="D56" s="113"/>
      <c r="E56" s="113"/>
      <c r="F56" s="113"/>
      <c r="G56" s="113"/>
      <c r="H56" s="113"/>
    </row>
    <row r="57" spans="1:8" ht="10.199999999999999" customHeight="1" thickBot="1" x14ac:dyDescent="0.35"/>
    <row r="58" spans="1:8" ht="41.4" thickBot="1" x14ac:dyDescent="0.35">
      <c r="A58" s="215" t="s">
        <v>126</v>
      </c>
      <c r="B58" s="215" t="s">
        <v>132</v>
      </c>
      <c r="C58" s="215" t="s">
        <v>128</v>
      </c>
      <c r="D58" s="215" t="s">
        <v>129</v>
      </c>
      <c r="E58" s="215" t="s">
        <v>204</v>
      </c>
      <c r="F58" s="215" t="s">
        <v>122</v>
      </c>
      <c r="G58" s="215" t="s">
        <v>127</v>
      </c>
    </row>
    <row r="59" spans="1:8" ht="20.399999999999999" x14ac:dyDescent="0.3">
      <c r="A59" s="193" t="s">
        <v>23</v>
      </c>
      <c r="B59" s="200" t="str">
        <f>'Equip Eficientes, Cons '!C5</f>
        <v>Dupla descarga, classe A++ (2.5/4.25)</v>
      </c>
      <c r="C59" s="188" t="e">
        <f>Certificação!C$12-'Equip Eficientes, Cons '!K5</f>
        <v>#N/A</v>
      </c>
      <c r="D59" s="188" t="e">
        <f>(((1.88+0.73+0.29)*B75/100)+2.9)*C59</f>
        <v>#N/A</v>
      </c>
      <c r="E59" s="217">
        <v>91</v>
      </c>
      <c r="F59" s="188" t="e">
        <f>Certificação!C$20-Certificação!C59</f>
        <v>#N/A</v>
      </c>
      <c r="G59" s="187" t="e">
        <f>IF(F59&lt;E28,"A++",IF(F58&lt;E29,"A+",IF(F59&lt;E30,"A",IF(F59&lt;E31,"B",IF(F59&lt;E32,"C",IF(F59&lt;E33,"D",IF(F59&lt;E34,"E")))))))</f>
        <v>#N/A</v>
      </c>
    </row>
    <row r="60" spans="1:8" ht="20.399999999999999" x14ac:dyDescent="0.3">
      <c r="A60" s="194"/>
      <c r="B60" s="201" t="str">
        <f>'Equip Eficientes, Cons '!C7</f>
        <v>Dupla descarga, classe A (6,0/6,5)</v>
      </c>
      <c r="C60" s="189" t="e">
        <f>Certificação!C$12-'Equip Eficientes, Cons '!K7</f>
        <v>#N/A</v>
      </c>
      <c r="D60" s="189" t="e">
        <f>(((1.88+0.73+0.29)*B75/100)+2.9)*C60</f>
        <v>#N/A</v>
      </c>
      <c r="E60" s="218">
        <v>77.75</v>
      </c>
      <c r="F60" s="189" t="e">
        <f>Certificação!C$20-Certificação!C60</f>
        <v>#N/A</v>
      </c>
      <c r="G60" s="202" t="e">
        <f>IF(F60&lt;E28,"A++",IF(F60&lt;E29,"A+",IF(F60&lt;E30,"A",IF(F60&lt;E31,"B",IF(F60&lt;E32,"C",IF(F60&lt;E33,"D",IF(F60&lt;E34,"E")))))))</f>
        <v>#N/A</v>
      </c>
    </row>
    <row r="61" spans="1:8" ht="31.2" thickBot="1" x14ac:dyDescent="0.35">
      <c r="A61" s="199"/>
      <c r="B61" s="203" t="str">
        <f>'Equip Eficientes, Cons '!C17</f>
        <v>C/ interrupção de descarga, classe B (6,0≤V≤6,5)</v>
      </c>
      <c r="C61" s="377" t="e">
        <f>Certificação!C$12-'Equip Eficientes, Cons '!K17</f>
        <v>#N/A</v>
      </c>
      <c r="D61" s="190" t="e">
        <f>(((1.88+0.73+0.29)*B75/100)+2.9)*C61</f>
        <v>#N/A</v>
      </c>
      <c r="E61" s="219">
        <v>25.9</v>
      </c>
      <c r="F61" s="190" t="e">
        <f>Certificação!C$20-Certificação!C61</f>
        <v>#N/A</v>
      </c>
      <c r="G61" s="204" t="e">
        <f>IF(F61&lt;E28,"A++",IF(F61&lt;E29,"A+",IF(F61&lt;E30,"A",IF(F61&lt;E31,"B",IF(F61&lt;E32,"C",IF(F61&lt;E33,"D",IF(F61&lt;E34,"E")))))))</f>
        <v>#N/A</v>
      </c>
    </row>
    <row r="62" spans="1:8" x14ac:dyDescent="0.3">
      <c r="A62" s="196" t="s">
        <v>24</v>
      </c>
      <c r="B62" s="197" t="str">
        <f>'Equip Eficientes, Cons '!C22</f>
        <v>Classe A+ (Q≤5)</v>
      </c>
      <c r="C62" s="188">
        <f>C13-'Equip Eficientes, Cons '!K22</f>
        <v>0</v>
      </c>
      <c r="D62" s="188">
        <f>(((1.88+0.73+0.29)*B75/100)+2.9)*C62</f>
        <v>0</v>
      </c>
      <c r="E62" s="220">
        <v>85</v>
      </c>
      <c r="F62" s="198" t="e">
        <f>C20-C62</f>
        <v>#N/A</v>
      </c>
      <c r="G62" s="187" t="e">
        <f>IF(F62&lt;E28,"A++",IF(F62&lt;E29,"A+",IF(F62&lt;E30,"A",IF(F62&lt;E31,"B",IF(F62&lt;E32,"C",IF(F62&lt;E33,"D",IF(F62&lt;E34,"E")))))))</f>
        <v>#N/A</v>
      </c>
    </row>
    <row r="63" spans="1:8" x14ac:dyDescent="0.3">
      <c r="A63" s="194"/>
      <c r="B63" s="191" t="str">
        <f>'Equip Eficientes, Cons '!C23</f>
        <v>Classe A (5,0≤Q≤7,2)</v>
      </c>
      <c r="C63" s="189">
        <f>C13-'Equip Eficientes, Cons '!K23</f>
        <v>-13.972199999999994</v>
      </c>
      <c r="D63" s="189">
        <f>(((1.88+0.73+0.29)*B75/100)+2.9)*C63</f>
        <v>-49.838837399999981</v>
      </c>
      <c r="E63" s="218">
        <v>62</v>
      </c>
      <c r="F63" s="189" t="e">
        <f>C20-C63</f>
        <v>#N/A</v>
      </c>
      <c r="G63" s="202" t="e">
        <f>IF(F63&lt;E28,"A++",IF(F63&lt;E29,"A+",IF(F63&lt;E30,"A",IF(F63&lt;E31,"B",IF(F63&lt;E32,"C",IF(F63&lt;E33,"D",IF(F63&lt;E34,"E")))))))</f>
        <v>#N/A</v>
      </c>
    </row>
    <row r="64" spans="1:8" ht="15" thickBot="1" x14ac:dyDescent="0.35">
      <c r="A64" s="195"/>
      <c r="B64" s="192" t="str">
        <f>'Equip Eficientes, Cons '!C24</f>
        <v>Classe B (7,2≤Q≤9,0)</v>
      </c>
      <c r="C64" s="190">
        <f>C13-'Equip Eficientes, Cons '!K24</f>
        <v>-39.376200000000004</v>
      </c>
      <c r="D64" s="190">
        <f>(((1.88+0.73+0.29)*B75/100)+2.9)*C64</f>
        <v>-140.45490540000003</v>
      </c>
      <c r="E64" s="219">
        <v>18</v>
      </c>
      <c r="F64" s="190" t="e">
        <f>C20-C64</f>
        <v>#N/A</v>
      </c>
      <c r="G64" s="204" t="e">
        <f>IF(F64&lt;E28,"A++",IF(F64&lt;E29,"A+",IF(F64&lt;E30,"A",IF(F64&lt;E31,"B",IF(F64&lt;E32,"C",IF(F64&lt;E33,"D",IF(F64&lt;E34,"E")))))))</f>
        <v>#N/A</v>
      </c>
    </row>
    <row r="65" spans="1:8" ht="20.399999999999999" x14ac:dyDescent="0.3">
      <c r="A65" s="196" t="s">
        <v>205</v>
      </c>
      <c r="B65" s="197" t="str">
        <f>'Equip Eficientes, Cons '!C30</f>
        <v>Classe A (2,0≤Q≤4,0)</v>
      </c>
      <c r="C65" s="198" t="e">
        <f>C14-'Equip Eficientes, Cons '!K30</f>
        <v>#N/A</v>
      </c>
      <c r="D65" s="188" t="e">
        <f>(((1.88+0.73+0.29)*B75/100)+2.9)*C65</f>
        <v>#N/A</v>
      </c>
      <c r="E65" s="220">
        <v>51.3</v>
      </c>
      <c r="F65" s="198" t="e">
        <f>C20-C65</f>
        <v>#N/A</v>
      </c>
      <c r="G65" s="187" t="e">
        <f>IF(F65&lt;E28,"A++",IF(F65&lt;E29,"A+",IF(F65&lt;E30,"A",IF(F65&lt;E31,"B",IF(F65&lt;E32,"C",IF(F65&lt;E33,"D",IF(F65&lt;E34,"E")))))))</f>
        <v>#N/A</v>
      </c>
    </row>
    <row r="66" spans="1:8" ht="15" thickBot="1" x14ac:dyDescent="0.35">
      <c r="A66" s="195"/>
      <c r="B66" s="192" t="str">
        <f>'Equip Eficientes, Cons '!C31</f>
        <v>Classe B (4,0≤Q≤6,0)</v>
      </c>
      <c r="C66" s="190" t="e">
        <f>C14-'Equip Eficientes, Cons '!K31</f>
        <v>#N/A</v>
      </c>
      <c r="D66" s="190" t="e">
        <f>(((1.88+0.73+0.29)*B75/100)+2.9)*C66</f>
        <v>#N/A</v>
      </c>
      <c r="E66" s="219">
        <v>89.95</v>
      </c>
      <c r="F66" s="190" t="e">
        <f>C20-C66</f>
        <v>#N/A</v>
      </c>
      <c r="G66" s="204" t="e">
        <f>IF(F66&lt;E28,"A++",IF(F66&lt;E29,"A+",IF(F66&lt;E30,"A",IF(F66&lt;E31,"B",IF(F66&lt;E32,"C",IF(F66&lt;E33,"D",IF(F66&lt;E34,"E")))))))</f>
        <v>#N/A</v>
      </c>
    </row>
    <row r="67" spans="1:8" ht="20.399999999999999" x14ac:dyDescent="0.3">
      <c r="A67" s="196" t="s">
        <v>206</v>
      </c>
      <c r="B67" s="197" t="str">
        <f>'Equip Eficientes, Cons '!C36</f>
        <v>Classe A+ ( Q≤4)</v>
      </c>
      <c r="C67" s="198" t="e">
        <f>C15-'Equip Eficientes, Cons '!K36</f>
        <v>#N/A</v>
      </c>
      <c r="D67" s="188" t="e">
        <f>(((1.88+0.73+0.29)*B75/100)+2.9)*C67</f>
        <v>#N/A</v>
      </c>
      <c r="E67" s="220">
        <v>59.9</v>
      </c>
      <c r="F67" s="198" t="e">
        <f>C20-C67</f>
        <v>#N/A</v>
      </c>
      <c r="G67" s="187" t="e">
        <f>IF(F67&lt;E28,"A++",IF(F67&lt;E29,"A+",IF(F67&lt;E30,"A",IF(F67&lt;E31,"B",IF(F67&lt;E32,"C",IF(F67&lt;E33,"D",IF(F67&lt;E34,"E")))))))</f>
        <v>#N/A</v>
      </c>
    </row>
    <row r="68" spans="1:8" x14ac:dyDescent="0.3">
      <c r="A68" s="194"/>
      <c r="B68" s="191" t="str">
        <f>'Equip Eficientes, Cons '!C37</f>
        <v>Classe A (4,0≤Q≤6,0)</v>
      </c>
      <c r="C68" s="189" t="e">
        <f>C15-'Equip Eficientes, Cons '!K37</f>
        <v>#N/A</v>
      </c>
      <c r="D68" s="189" t="e">
        <f>(((1.88+0.73+0.29)*B75/100)+2.9)*C68</f>
        <v>#N/A</v>
      </c>
      <c r="E68" s="221">
        <v>110.1</v>
      </c>
      <c r="F68" s="189" t="e">
        <f>C20-C68</f>
        <v>#N/A</v>
      </c>
      <c r="G68" s="202" t="e">
        <f>IF(F68&lt;E28,"A++",IF(F68&lt;E29,"A+",IF(F68&lt;E30,"A",IF(F68&lt;E31,"B",IF(F68&lt;E32,"C",IF(F68&lt;E33,"D",IF(F68&lt;E34,"E")))))))</f>
        <v>#N/A</v>
      </c>
      <c r="H68" s="22"/>
    </row>
    <row r="69" spans="1:8" ht="19.95" customHeight="1" thickBot="1" x14ac:dyDescent="0.35">
      <c r="A69" s="195"/>
      <c r="B69" s="192" t="str">
        <f>'Equip Eficientes, Cons '!C38</f>
        <v>Classe B (6,0≤Q≤9,0)</v>
      </c>
      <c r="C69" s="377" t="e">
        <f>C15-'Equip Eficientes, Cons '!K38</f>
        <v>#N/A</v>
      </c>
      <c r="D69" s="190" t="e">
        <f>(((1.88+0.73+0.29)*B75/100)+2.9)*C69</f>
        <v>#N/A</v>
      </c>
      <c r="E69" s="222">
        <v>166</v>
      </c>
      <c r="F69" s="190" t="e">
        <f>C20-C69</f>
        <v>#N/A</v>
      </c>
      <c r="G69" s="204" t="e">
        <f>IF(F69&lt;E28,"A++",IF(F69&lt;E29,"A+",IF(F69&lt;E30,"A",IF(F69&lt;E31,"B",IF(F69&lt;E32,"C",IF(F69&lt;E33,"D",IF(F69&lt;E34,"E")))))))</f>
        <v>#N/A</v>
      </c>
      <c r="H69" s="22"/>
    </row>
    <row r="70" spans="1:8" ht="19.95" customHeight="1" x14ac:dyDescent="0.3">
      <c r="A70" s="211" t="s">
        <v>5</v>
      </c>
      <c r="B70" s="207" t="s">
        <v>209</v>
      </c>
      <c r="C70" s="378" t="s">
        <v>11</v>
      </c>
      <c r="D70" s="379" t="s">
        <v>11</v>
      </c>
      <c r="E70" s="380" t="s">
        <v>11</v>
      </c>
      <c r="F70" s="378" t="s">
        <v>11</v>
      </c>
      <c r="G70" s="381" t="s">
        <v>11</v>
      </c>
      <c r="H70" s="205"/>
    </row>
    <row r="71" spans="1:8" ht="22.2" customHeight="1" thickBot="1" x14ac:dyDescent="0.35">
      <c r="A71" s="212"/>
      <c r="B71" s="210" t="s">
        <v>208</v>
      </c>
      <c r="C71" s="382" t="s">
        <v>11</v>
      </c>
      <c r="D71" s="383" t="s">
        <v>11</v>
      </c>
      <c r="E71" s="384" t="s">
        <v>11</v>
      </c>
      <c r="F71" s="382" t="s">
        <v>11</v>
      </c>
      <c r="G71" s="385" t="s">
        <v>11</v>
      </c>
    </row>
    <row r="72" spans="1:8" ht="19.2" customHeight="1" x14ac:dyDescent="0.3">
      <c r="A72" s="213" t="s">
        <v>210</v>
      </c>
      <c r="B72" s="208" t="s">
        <v>213</v>
      </c>
      <c r="C72" s="386" t="s">
        <v>11</v>
      </c>
      <c r="D72" s="379" t="s">
        <v>11</v>
      </c>
      <c r="E72" s="378" t="s">
        <v>11</v>
      </c>
      <c r="F72" s="378" t="s">
        <v>11</v>
      </c>
      <c r="G72" s="381" t="s">
        <v>11</v>
      </c>
    </row>
    <row r="73" spans="1:8" ht="15" thickBot="1" x14ac:dyDescent="0.35">
      <c r="A73" s="214"/>
      <c r="B73" s="209" t="s">
        <v>209</v>
      </c>
      <c r="C73" s="387" t="s">
        <v>11</v>
      </c>
      <c r="D73" s="388" t="s">
        <v>11</v>
      </c>
      <c r="E73" s="382" t="s">
        <v>11</v>
      </c>
      <c r="F73" s="382" t="s">
        <v>11</v>
      </c>
      <c r="G73" s="385" t="s">
        <v>11</v>
      </c>
    </row>
    <row r="74" spans="1:8" ht="9.6" customHeight="1" x14ac:dyDescent="0.3">
      <c r="A74" s="205" t="s">
        <v>207</v>
      </c>
      <c r="B74" s="205"/>
      <c r="C74" s="206"/>
      <c r="D74" s="206"/>
      <c r="E74" s="206"/>
      <c r="F74" s="206"/>
    </row>
    <row r="75" spans="1:8" ht="16.8" x14ac:dyDescent="0.3">
      <c r="A75" s="390" t="s">
        <v>240</v>
      </c>
      <c r="B75" s="391">
        <v>23</v>
      </c>
      <c r="C75" s="389" t="s">
        <v>241</v>
      </c>
    </row>
  </sheetData>
  <mergeCells count="14">
    <mergeCell ref="C10:D10"/>
    <mergeCell ref="A52:C52"/>
    <mergeCell ref="A53:C53"/>
    <mergeCell ref="C46:D46"/>
    <mergeCell ref="C47:D47"/>
    <mergeCell ref="A12:A17"/>
    <mergeCell ref="A18:A19"/>
    <mergeCell ref="C44:D44"/>
    <mergeCell ref="C45:D45"/>
    <mergeCell ref="D27:E27"/>
    <mergeCell ref="C40:D40"/>
    <mergeCell ref="C41:D41"/>
    <mergeCell ref="C42:D42"/>
    <mergeCell ref="C43:D43"/>
  </mergeCells>
  <pageMargins left="0" right="0" top="0" bottom="0" header="0" footer="0"/>
  <pageSetup paperSize="9" orientation="portrait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Habitação_referência</vt:lpstr>
      <vt:lpstr>Equip Eficientes, Cons </vt:lpstr>
      <vt:lpstr>SAAP</vt:lpstr>
      <vt:lpstr>SAAC</vt:lpstr>
      <vt:lpstr>Certificação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2016-07-28T14:53:21Z</cp:lastPrinted>
  <dcterms:created xsi:type="dcterms:W3CDTF">2016-01-13T09:56:49Z</dcterms:created>
  <dcterms:modified xsi:type="dcterms:W3CDTF">2016-07-28T14:53:31Z</dcterms:modified>
</cp:coreProperties>
</file>